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680" firstSheet="3" activeTab="9"/>
  </bookViews>
  <sheets>
    <sheet name="Income" sheetId="1" r:id="rId1"/>
    <sheet name="Expenditure" sheetId="2" r:id="rId2"/>
    <sheet name="Reconciliation" sheetId="3" r:id="rId3"/>
    <sheet name="Budget Analysis" sheetId="4" r:id="rId4"/>
    <sheet name="Asset Register" sheetId="13" r:id="rId5"/>
    <sheet name="External Audit Form" sheetId="6" r:id="rId6"/>
    <sheet name="Line 3" sheetId="7" r:id="rId7"/>
    <sheet name="Line 4" sheetId="9" r:id="rId8"/>
    <sheet name="Line 6" sheetId="8" r:id="rId9"/>
    <sheet name="Line 7" sheetId="10" r:id="rId10"/>
    <sheet name="VAT" sheetId="12" r:id="rId11"/>
    <sheet name="Sheet1" sheetId="11" r:id="rId12"/>
  </sheets>
  <definedNames>
    <definedName name="_xlnm.Print_Area" localSheetId="3">'Budget Analysis'!$A$1:$H$28</definedName>
    <definedName name="_xlnm.Print_Area" localSheetId="1">Expenditure!$A$1:$R$45</definedName>
    <definedName name="_xlnm.Print_Area" localSheetId="5">'External Audit Form'!$A$1:$E$12</definedName>
    <definedName name="_xlnm.Print_Area" localSheetId="0">Income!$A$1:$I$8</definedName>
    <definedName name="_xlnm.Print_Area" localSheetId="6">'Line 3'!$B$2:$K$16</definedName>
    <definedName name="_xlnm.Print_Area" localSheetId="7">'Line 4'!$B$1:$F$5</definedName>
    <definedName name="_xlnm.Print_Area" localSheetId="8">'Line 6'!$B$1:$F$24</definedName>
    <definedName name="_xlnm.Print_Area" localSheetId="9">'Line 7'!$B$1:$K$17</definedName>
    <definedName name="_xlnm.Print_Area" localSheetId="2">Reconciliation!$F$4:$M$11</definedName>
    <definedName name="_xlnm.Print_Area" localSheetId="10">VAT!#REF!</definedName>
  </definedNames>
  <calcPr calcId="125725"/>
</workbook>
</file>

<file path=xl/calcChain.xml><?xml version="1.0" encoding="utf-8"?>
<calcChain xmlns="http://schemas.openxmlformats.org/spreadsheetml/2006/main">
  <c r="M11" i="3"/>
  <c r="K11"/>
  <c r="M10"/>
  <c r="M9"/>
  <c r="M8"/>
  <c r="M7"/>
  <c r="M6"/>
  <c r="F15" i="8" l="1"/>
  <c r="E15"/>
  <c r="E24" s="1"/>
  <c r="J15" i="10" l="1"/>
  <c r="L8" i="1"/>
  <c r="K4" i="10"/>
  <c r="K5"/>
  <c r="K6"/>
  <c r="K7"/>
  <c r="K8"/>
  <c r="K9"/>
  <c r="K10"/>
  <c r="K3"/>
  <c r="D11" l="1"/>
  <c r="E11"/>
  <c r="F11"/>
  <c r="G11"/>
  <c r="H11"/>
  <c r="I11"/>
  <c r="K11" s="1"/>
  <c r="J11"/>
  <c r="C11"/>
  <c r="F16" i="7"/>
  <c r="D8" i="6"/>
  <c r="B20" i="3"/>
  <c r="F8" i="1"/>
  <c r="G8"/>
  <c r="H8"/>
  <c r="I8"/>
  <c r="E8"/>
  <c r="I7"/>
  <c r="P48" i="2"/>
  <c r="I8" i="12"/>
  <c r="I8" i="10" l="1"/>
  <c r="D6" i="6"/>
  <c r="F23" i="8"/>
  <c r="D11" i="4"/>
  <c r="D22"/>
  <c r="G45" i="2"/>
  <c r="H45"/>
  <c r="I45"/>
  <c r="J45"/>
  <c r="K45"/>
  <c r="L45"/>
  <c r="D9" i="4" s="1"/>
  <c r="F9" s="1"/>
  <c r="M45" i="2"/>
  <c r="N45"/>
  <c r="O45"/>
  <c r="D13" i="4" s="1"/>
  <c r="Q45" i="2"/>
  <c r="P41"/>
  <c r="R41" s="1"/>
  <c r="R45" s="1"/>
  <c r="P42"/>
  <c r="R42" s="1"/>
  <c r="P43"/>
  <c r="R43" s="1"/>
  <c r="P40"/>
  <c r="R40" s="1"/>
  <c r="N44"/>
  <c r="F44" s="1"/>
  <c r="P44" s="1"/>
  <c r="R44" s="1"/>
  <c r="P37"/>
  <c r="R37" s="1"/>
  <c r="P38"/>
  <c r="R38" s="1"/>
  <c r="P39"/>
  <c r="R39" s="1"/>
  <c r="P31"/>
  <c r="R31" s="1"/>
  <c r="P32"/>
  <c r="R32" s="1"/>
  <c r="P34"/>
  <c r="R34" s="1"/>
  <c r="P35"/>
  <c r="R35" s="1"/>
  <c r="P36"/>
  <c r="R36" s="1"/>
  <c r="N33"/>
  <c r="P33" s="1"/>
  <c r="R33" s="1"/>
  <c r="F45" l="1"/>
  <c r="P45"/>
  <c r="D8" i="4"/>
  <c r="D10"/>
  <c r="F10" s="1"/>
  <c r="P27" i="2"/>
  <c r="R27" s="1"/>
  <c r="P28"/>
  <c r="R28" s="1"/>
  <c r="P29"/>
  <c r="R29" s="1"/>
  <c r="P30"/>
  <c r="R30" s="1"/>
  <c r="H16" i="10"/>
  <c r="H5"/>
  <c r="F8" i="7" l="1"/>
  <c r="F8" i="4" l="1"/>
  <c r="E8"/>
  <c r="I5" i="1"/>
  <c r="I6"/>
  <c r="H17" i="10" l="1"/>
  <c r="J16"/>
  <c r="D24" i="8"/>
  <c r="C24"/>
  <c r="F16"/>
  <c r="F14"/>
  <c r="F13"/>
  <c r="F11"/>
  <c r="F10"/>
  <c r="F9"/>
  <c r="F8"/>
  <c r="F7"/>
  <c r="F14" i="7"/>
  <c r="F5"/>
  <c r="R23" i="2"/>
  <c r="P22"/>
  <c r="P23"/>
  <c r="P24"/>
  <c r="R24" s="1"/>
  <c r="P25"/>
  <c r="R25" s="1"/>
  <c r="P26"/>
  <c r="R26" s="1"/>
  <c r="X25"/>
  <c r="P16"/>
  <c r="D23" i="4" s="1"/>
  <c r="F23" s="1"/>
  <c r="P17" i="2"/>
  <c r="R17" s="1"/>
  <c r="P18"/>
  <c r="R18" s="1"/>
  <c r="P19"/>
  <c r="R19" s="1"/>
  <c r="P20"/>
  <c r="R20" s="1"/>
  <c r="P21"/>
  <c r="R21" s="1"/>
  <c r="E21" i="4"/>
  <c r="F21" s="1"/>
  <c r="I4" i="1"/>
  <c r="E24" i="4"/>
  <c r="F24" s="1"/>
  <c r="D6"/>
  <c r="F6" s="1"/>
  <c r="P8" i="2"/>
  <c r="R8" s="1"/>
  <c r="P9"/>
  <c r="R9" s="1"/>
  <c r="P10"/>
  <c r="R10" s="1"/>
  <c r="P11"/>
  <c r="R11" s="1"/>
  <c r="P13"/>
  <c r="R13" s="1"/>
  <c r="P14"/>
  <c r="R14" s="1"/>
  <c r="P15"/>
  <c r="R15" s="1"/>
  <c r="D15" i="4" l="1"/>
  <c r="F5" i="8"/>
  <c r="F20"/>
  <c r="H22" s="1"/>
  <c r="R22" i="2"/>
  <c r="R16"/>
  <c r="E25" i="4"/>
  <c r="F12" i="2"/>
  <c r="F3" i="9" s="1"/>
  <c r="D7" i="4"/>
  <c r="D27"/>
  <c r="P5" i="2"/>
  <c r="R5" s="1"/>
  <c r="P6"/>
  <c r="R6" s="1"/>
  <c r="P7"/>
  <c r="R7" s="1"/>
  <c r="I3" i="1"/>
  <c r="C25" i="4"/>
  <c r="D5"/>
  <c r="B25"/>
  <c r="F13" l="1"/>
  <c r="F15"/>
  <c r="F18" i="8"/>
  <c r="D4" i="4"/>
  <c r="N12" i="2"/>
  <c r="E6" i="6" s="1"/>
  <c r="F7" i="4"/>
  <c r="F6" i="8"/>
  <c r="F5" i="4"/>
  <c r="F4" i="8"/>
  <c r="I2" i="1"/>
  <c r="P3" i="2"/>
  <c r="R3" s="1"/>
  <c r="P4"/>
  <c r="R4" s="1"/>
  <c r="P2"/>
  <c r="E11" i="6"/>
  <c r="P12" i="2" l="1"/>
  <c r="R12" s="1"/>
  <c r="F4" i="9"/>
  <c r="F5" s="1"/>
  <c r="I6" i="10"/>
  <c r="I15" s="1"/>
  <c r="D18" i="4"/>
  <c r="F18" s="1"/>
  <c r="F4"/>
  <c r="J17" i="10"/>
  <c r="R2" i="2"/>
  <c r="H4" i="6"/>
  <c r="H3"/>
  <c r="H5" s="1"/>
  <c r="H7" s="1"/>
  <c r="K15" i="10" l="1"/>
  <c r="D25" i="4"/>
  <c r="I16" i="10"/>
  <c r="K16" s="1"/>
  <c r="F12" i="8"/>
  <c r="F24" s="1"/>
  <c r="D28" i="4"/>
  <c r="E8" i="6"/>
  <c r="D4"/>
  <c r="E4" s="1"/>
  <c r="K17" i="10" l="1"/>
  <c r="I17"/>
  <c r="D5" i="6"/>
  <c r="E5" s="1"/>
  <c r="G4"/>
  <c r="C14" i="13"/>
  <c r="H13"/>
  <c r="H12"/>
  <c r="H11"/>
  <c r="H10"/>
  <c r="H9"/>
  <c r="H8"/>
  <c r="H14" s="1"/>
  <c r="D17" i="10"/>
  <c r="E4"/>
  <c r="E5"/>
  <c r="E7"/>
  <c r="E3"/>
  <c r="B11" i="3" l="1"/>
  <c r="B6"/>
  <c r="B8" s="1"/>
  <c r="G3" i="6" l="1"/>
  <c r="G5" s="1"/>
  <c r="G7" s="1"/>
  <c r="C10"/>
  <c r="C9"/>
  <c r="D3" s="1"/>
  <c r="D9" s="1"/>
  <c r="E9" s="1"/>
  <c r="E6" i="10"/>
  <c r="E16" l="1"/>
  <c r="E17" l="1"/>
  <c r="B19" i="3"/>
  <c r="B21" s="1"/>
  <c r="D10" i="6" s="1"/>
  <c r="E10" s="1"/>
  <c r="C28" i="4" l="1"/>
  <c r="B10" i="3"/>
  <c r="B12" s="1"/>
</calcChain>
</file>

<file path=xl/sharedStrings.xml><?xml version="1.0" encoding="utf-8"?>
<sst xmlns="http://schemas.openxmlformats.org/spreadsheetml/2006/main" count="375" uniqueCount="198">
  <si>
    <t>Date</t>
  </si>
  <si>
    <t>From</t>
  </si>
  <si>
    <t>In Respect of</t>
  </si>
  <si>
    <t>Total £</t>
  </si>
  <si>
    <t>Other £</t>
  </si>
  <si>
    <t>War Memorial £</t>
  </si>
  <si>
    <t>General Administration £</t>
  </si>
  <si>
    <t>Precept</t>
  </si>
  <si>
    <t>Total for Year</t>
  </si>
  <si>
    <t>Invoice Reference</t>
  </si>
  <si>
    <t>Document Reference</t>
  </si>
  <si>
    <t>Payable To</t>
  </si>
  <si>
    <t>Petty Cash</t>
  </si>
  <si>
    <t>Total</t>
  </si>
  <si>
    <t>Clerk's Salary £</t>
  </si>
  <si>
    <t>Audit Fees £</t>
  </si>
  <si>
    <t>Insurance £</t>
  </si>
  <si>
    <t>Total Net of VAT £</t>
  </si>
  <si>
    <t>VAT £</t>
  </si>
  <si>
    <t>Subscriptions £</t>
  </si>
  <si>
    <t>Barclays Bank</t>
  </si>
  <si>
    <t>Represented by</t>
  </si>
  <si>
    <t>Item</t>
  </si>
  <si>
    <t>Income £</t>
  </si>
  <si>
    <t>Expenditure £</t>
  </si>
  <si>
    <t>Figures are net of VAT</t>
  </si>
  <si>
    <t>VAT Refund</t>
  </si>
  <si>
    <t xml:space="preserve">Clerk's Salary </t>
  </si>
  <si>
    <t xml:space="preserve">Subscriptions </t>
  </si>
  <si>
    <t xml:space="preserve">Audit Fees </t>
  </si>
  <si>
    <t xml:space="preserve">Insurance </t>
  </si>
  <si>
    <t xml:space="preserve">War Memorial </t>
  </si>
  <si>
    <t xml:space="preserve">Other </t>
  </si>
  <si>
    <t>VAT Regn No,</t>
  </si>
  <si>
    <t>Less Uncashed Cheques</t>
  </si>
  <si>
    <t>VAT</t>
  </si>
  <si>
    <t>Information Commissioner</t>
  </si>
  <si>
    <t>Totals net of VAT</t>
  </si>
  <si>
    <t>Totals inc VAT</t>
  </si>
  <si>
    <t>Asset Register</t>
  </si>
  <si>
    <t>Village Green</t>
  </si>
  <si>
    <t>Date of Acquisition</t>
  </si>
  <si>
    <t>Basis of Valuation</t>
  </si>
  <si>
    <t>Value</t>
  </si>
  <si>
    <t xml:space="preserve">First Registered </t>
  </si>
  <si>
    <t>Village Sign</t>
  </si>
  <si>
    <t>Noticeboard</t>
  </si>
  <si>
    <t>Cost at time of purchase</t>
  </si>
  <si>
    <t>Circular Teak seat</t>
  </si>
  <si>
    <t>Donated Jan 2013</t>
  </si>
  <si>
    <t>Original puchase price</t>
  </si>
  <si>
    <t>Village green registration</t>
  </si>
  <si>
    <t>Queen Elizabeth Silver Jubilee Sign</t>
  </si>
  <si>
    <t>Estimate</t>
  </si>
  <si>
    <t>Traditional seat with arms</t>
  </si>
  <si>
    <t>unknown</t>
  </si>
  <si>
    <t>Renewal price 2012</t>
  </si>
  <si>
    <t>Budget</t>
  </si>
  <si>
    <t>£</t>
  </si>
  <si>
    <t>%age Budget Spend</t>
  </si>
  <si>
    <t>Grass Cutting</t>
  </si>
  <si>
    <t>Notes</t>
  </si>
  <si>
    <t>Hall Hire</t>
  </si>
  <si>
    <t>Election Fees</t>
  </si>
  <si>
    <t>Add Income for year</t>
  </si>
  <si>
    <t>Less Expenditure for year</t>
  </si>
  <si>
    <t>2015/16</t>
  </si>
  <si>
    <t>Elections £</t>
  </si>
  <si>
    <t>Information Commissioner £</t>
  </si>
  <si>
    <t>Purchase price 2015</t>
  </si>
  <si>
    <t>Balances Brought Forward</t>
  </si>
  <si>
    <t>Annual Precept</t>
  </si>
  <si>
    <t>Total Other Receipts</t>
  </si>
  <si>
    <t>Staff Costs</t>
  </si>
  <si>
    <t>Loan Interest/Capital Repayments</t>
  </si>
  <si>
    <t>All Other Payments</t>
  </si>
  <si>
    <t>Balances Carried Forward</t>
  </si>
  <si>
    <t>Total Cash &amp; Short Term Investments</t>
  </si>
  <si>
    <t>Total Fixed Assets Plus Other Long Term Investments</t>
  </si>
  <si>
    <t>Total Borrowings</t>
  </si>
  <si>
    <t>Percentage Variation</t>
  </si>
  <si>
    <t>Remembrance Day Parade</t>
  </si>
  <si>
    <t>Transparency Grant</t>
  </si>
  <si>
    <t>G N Mussett</t>
  </si>
  <si>
    <t>Clerk's Salary</t>
  </si>
  <si>
    <t>EALC</t>
  </si>
  <si>
    <t>2016/17</t>
  </si>
  <si>
    <t>Transparency Fund</t>
  </si>
  <si>
    <t>HP 15.6 Laptop</t>
  </si>
  <si>
    <t>HP Envy Wifi Printer</t>
  </si>
  <si>
    <t>Parish Plan</t>
  </si>
  <si>
    <t>Village Fete</t>
  </si>
  <si>
    <t>War Memorial</t>
  </si>
  <si>
    <t>ADDED JUNE 2016</t>
  </si>
  <si>
    <t>Restricted funds</t>
  </si>
  <si>
    <t>H Bendall</t>
  </si>
  <si>
    <t>Litterpicking</t>
  </si>
  <si>
    <t>Litter Picking £</t>
  </si>
  <si>
    <t>Purchase price 2016</t>
  </si>
  <si>
    <t>Defibrillator</t>
  </si>
  <si>
    <t>Best Village Sign 2015</t>
  </si>
  <si>
    <t>Contribution towards War Memorial</t>
  </si>
  <si>
    <t xml:space="preserve">2015/16 </t>
  </si>
  <si>
    <t>Prize Best Kept Village</t>
  </si>
  <si>
    <t>One-off project funding</t>
  </si>
  <si>
    <t xml:space="preserve">Elections </t>
  </si>
  <si>
    <t xml:space="preserve">Information Commissioner </t>
  </si>
  <si>
    <t xml:space="preserve">Transparency Fund </t>
  </si>
  <si>
    <t xml:space="preserve">Parish Plan </t>
  </si>
  <si>
    <t xml:space="preserve">Village Fete </t>
  </si>
  <si>
    <t xml:space="preserve">Litter Picking </t>
  </si>
  <si>
    <t>Litter-pickers's Salary &amp; PAYE/NI</t>
  </si>
  <si>
    <t>Clerk's Salary &amp; PAYE/NI</t>
  </si>
  <si>
    <t>Income</t>
  </si>
  <si>
    <t>Expenditure in 2016/17</t>
  </si>
  <si>
    <t>Restricted Funds Carried forward into 2017/18</t>
  </si>
  <si>
    <t>BANK RECONCILIATION</t>
  </si>
  <si>
    <t>Document reference</t>
  </si>
  <si>
    <t>Pirchase price 2017</t>
  </si>
  <si>
    <t>Line 7</t>
  </si>
  <si>
    <t>Line 3</t>
  </si>
  <si>
    <t>Line 4</t>
  </si>
  <si>
    <t>Line 6</t>
  </si>
  <si>
    <t>Reserves</t>
  </si>
  <si>
    <t>As at 31/3/16</t>
  </si>
  <si>
    <t>As at 31/3/17</t>
  </si>
  <si>
    <t>General reserves</t>
  </si>
  <si>
    <t>EXTERNAL AUDIT FORM</t>
  </si>
  <si>
    <t>2017/18</t>
  </si>
  <si>
    <t>Community Asset</t>
  </si>
  <si>
    <t>Barriers</t>
  </si>
  <si>
    <t>Housing Needs Survey</t>
  </si>
  <si>
    <t>Expenditure in 2017/18</t>
  </si>
  <si>
    <t>BUDGET ANALYSIS</t>
  </si>
  <si>
    <t>Money in reserves to offset this spend</t>
  </si>
  <si>
    <t>Neighbourhood Watch Meetings Grant</t>
  </si>
  <si>
    <t>Neighbourhood Watch Meetings</t>
  </si>
  <si>
    <t>Neighbourhood Watch</t>
  </si>
  <si>
    <t>Project funding to continue to 2020 (3 years funding in advance</t>
  </si>
  <si>
    <t>Training Bursary</t>
  </si>
  <si>
    <t>New Income in 2017/18</t>
  </si>
  <si>
    <t>As at 31/03/18</t>
  </si>
  <si>
    <t>2018/19</t>
  </si>
  <si>
    <t>Restricted Funds Carried forward into 2018/19</t>
  </si>
  <si>
    <t xml:space="preserve"> £- </t>
  </si>
  <si>
    <t>Annual Subscription</t>
  </si>
  <si>
    <t>Maldon District Council</t>
  </si>
  <si>
    <t>Data Protection Officer</t>
  </si>
  <si>
    <t>HM Revenue &amp; Customs</t>
  </si>
  <si>
    <t>BHIB</t>
  </si>
  <si>
    <t>Insurance Premium</t>
  </si>
  <si>
    <t>County Broadband</t>
  </si>
  <si>
    <t>Hi-speed Internet Survey</t>
  </si>
  <si>
    <t>104 2528 13</t>
  </si>
  <si>
    <t>Essex County Council</t>
  </si>
  <si>
    <t>Bridge Repair Survey</t>
  </si>
  <si>
    <t>295 3657 59</t>
  </si>
  <si>
    <t>HMRC</t>
  </si>
  <si>
    <t>Tax/NI</t>
  </si>
  <si>
    <t>SALC</t>
  </si>
  <si>
    <t>Internal Audit Fee</t>
  </si>
  <si>
    <t>825 0232 65</t>
  </si>
  <si>
    <t>Essex Community Foundation</t>
  </si>
  <si>
    <t>Grant towards Broadband Review</t>
  </si>
  <si>
    <t>GDPR Service</t>
  </si>
  <si>
    <t>104 3332 25</t>
  </si>
  <si>
    <t>Litterpickers</t>
  </si>
  <si>
    <t>NI/PAYE</t>
  </si>
  <si>
    <t>Noticeboard Glass</t>
  </si>
  <si>
    <t>463 4313 61</t>
  </si>
  <si>
    <t>Fishwell Ltd</t>
  </si>
  <si>
    <t>Road Closure Notice</t>
  </si>
  <si>
    <t>Broadband grant</t>
  </si>
  <si>
    <t>GDPR</t>
  </si>
  <si>
    <t>Remembrance Day</t>
  </si>
  <si>
    <t>Grasscutting</t>
  </si>
  <si>
    <t>Expenditure in 2018/19</t>
  </si>
  <si>
    <t>New Income in 2018/19</t>
  </si>
  <si>
    <t>Restricted Funds Carried forward into 2019/20</t>
  </si>
  <si>
    <t>Wickham Bishops Parish Council</t>
  </si>
  <si>
    <t>Great Braxted Parish Council</t>
  </si>
  <si>
    <t>Contribution to War Memorial Upkeep</t>
  </si>
  <si>
    <t>Goodlife Countryside Services</t>
  </si>
  <si>
    <t>Grounds Maintenance</t>
  </si>
  <si>
    <t>Remembrance Day Wreath</t>
  </si>
  <si>
    <t>Registration</t>
  </si>
  <si>
    <t>The Braxted Bakery</t>
  </si>
  <si>
    <t>Hire of Room for Meetings</t>
  </si>
  <si>
    <t>Neighbourhood Watch Coffee Mornings</t>
  </si>
  <si>
    <t>Bridge Repairs</t>
  </si>
  <si>
    <t>Grant towards bridge refurbishment</t>
  </si>
  <si>
    <t>As at 29/3/19</t>
  </si>
  <si>
    <t>Broadband Survey</t>
  </si>
  <si>
    <t>Hi-Speed Internet Survey</t>
  </si>
  <si>
    <t>Bridge repair survey</t>
  </si>
  <si>
    <t>Hire of Meeting Room</t>
  </si>
  <si>
    <t>TOTAL</t>
  </si>
  <si>
    <t>UNCASHED CHEQUES AT 31/3/19</t>
  </si>
</sst>
</file>

<file path=xl/styles.xml><?xml version="1.0" encoding="utf-8"?>
<styleSheet xmlns="http://schemas.openxmlformats.org/spreadsheetml/2006/main">
  <numFmts count="5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%"/>
    <numFmt numFmtId="165" formatCode="dd/mm/yy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44" fontId="1" fillId="0" borderId="0" xfId="0" applyNumberFormat="1" applyFont="1"/>
    <xf numFmtId="4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4" fontId="3" fillId="0" borderId="0" xfId="0" applyNumberFormat="1" applyFont="1"/>
    <xf numFmtId="44" fontId="4" fillId="0" borderId="0" xfId="0" applyNumberFormat="1" applyFont="1"/>
    <xf numFmtId="0" fontId="0" fillId="0" borderId="0" xfId="0" applyFont="1" applyAlignment="1">
      <alignment wrapText="1"/>
    </xf>
    <xf numFmtId="44" fontId="0" fillId="0" borderId="0" xfId="0" applyNumberFormat="1" applyFont="1"/>
    <xf numFmtId="14" fontId="0" fillId="0" borderId="0" xfId="0" applyNumberFormat="1" applyFont="1" applyAlignment="1">
      <alignment wrapText="1"/>
    </xf>
    <xf numFmtId="42" fontId="0" fillId="0" borderId="0" xfId="0" applyNumberForma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9" fontId="0" fillId="0" borderId="0" xfId="0" applyNumberFormat="1"/>
    <xf numFmtId="42" fontId="4" fillId="0" borderId="0" xfId="0" applyNumberFormat="1" applyFont="1"/>
    <xf numFmtId="44" fontId="0" fillId="0" borderId="0" xfId="0" applyNumberFormat="1" applyFont="1" applyAlignment="1">
      <alignment wrapText="1"/>
    </xf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/>
    <xf numFmtId="44" fontId="3" fillId="0" borderId="0" xfId="0" applyNumberFormat="1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42" fontId="0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44" fontId="0" fillId="0" borderId="0" xfId="0" applyNumberFormat="1" applyFill="1"/>
    <xf numFmtId="6" fontId="0" fillId="0" borderId="0" xfId="0" applyNumberFormat="1" applyFont="1" applyAlignment="1">
      <alignment wrapText="1"/>
    </xf>
    <xf numFmtId="44" fontId="3" fillId="0" borderId="0" xfId="0" applyNumberFormat="1" applyFont="1" applyFill="1"/>
    <xf numFmtId="44" fontId="4" fillId="0" borderId="0" xfId="0" applyNumberFormat="1" applyFont="1" applyFill="1"/>
    <xf numFmtId="0" fontId="1" fillId="0" borderId="0" xfId="0" applyFont="1" applyAlignment="1">
      <alignment horizontal="left" wrapText="1"/>
    </xf>
    <xf numFmtId="44" fontId="0" fillId="0" borderId="0" xfId="0" applyNumberFormat="1" applyFill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6" fontId="0" fillId="0" borderId="0" xfId="0" applyNumberFormat="1" applyAlignment="1">
      <alignment vertical="top"/>
    </xf>
    <xf numFmtId="6" fontId="0" fillId="0" borderId="0" xfId="0" applyNumberFormat="1" applyFill="1" applyAlignment="1">
      <alignment vertical="top"/>
    </xf>
    <xf numFmtId="42" fontId="0" fillId="0" borderId="0" xfId="0" applyNumberFormat="1" applyFill="1" applyAlignment="1">
      <alignment vertical="top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4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L9" sqref="L9"/>
    </sheetView>
  </sheetViews>
  <sheetFormatPr defaultRowHeight="15"/>
  <cols>
    <col min="1" max="1" width="16.5703125" customWidth="1"/>
    <col min="2" max="2" width="11.42578125" customWidth="1"/>
    <col min="3" max="3" width="19" style="1" customWidth="1"/>
    <col min="4" max="4" width="15.5703125" style="1" customWidth="1"/>
    <col min="5" max="5" width="15.85546875" customWidth="1"/>
    <col min="6" max="8" width="11.28515625" customWidth="1"/>
    <col min="9" max="9" width="12.140625" customWidth="1"/>
    <col min="12" max="12" width="10.5703125" bestFit="1" customWidth="1"/>
  </cols>
  <sheetData>
    <row r="1" spans="1:12" s="5" customFormat="1" ht="30">
      <c r="A1" s="5" t="s">
        <v>0</v>
      </c>
      <c r="B1" s="5" t="s">
        <v>117</v>
      </c>
      <c r="C1" s="5" t="s">
        <v>1</v>
      </c>
      <c r="D1" s="5" t="s">
        <v>2</v>
      </c>
      <c r="E1" s="5" t="s">
        <v>6</v>
      </c>
      <c r="F1" s="5" t="s">
        <v>5</v>
      </c>
      <c r="G1" s="5" t="s">
        <v>4</v>
      </c>
      <c r="H1" s="5" t="s">
        <v>18</v>
      </c>
      <c r="I1" s="5" t="s">
        <v>3</v>
      </c>
    </row>
    <row r="2" spans="1:12" s="12" customFormat="1" ht="30">
      <c r="A2" s="14">
        <v>43216</v>
      </c>
      <c r="B2" s="1"/>
      <c r="C2" s="1" t="s">
        <v>146</v>
      </c>
      <c r="D2" s="1" t="s">
        <v>7</v>
      </c>
      <c r="E2" s="3">
        <v>3274</v>
      </c>
      <c r="I2" s="13">
        <f>SUM(E2:H2)</f>
        <v>3274</v>
      </c>
    </row>
    <row r="3" spans="1:12" s="12" customFormat="1" ht="30">
      <c r="A3" s="14">
        <v>43229</v>
      </c>
      <c r="B3" s="1"/>
      <c r="C3" s="1" t="s">
        <v>148</v>
      </c>
      <c r="D3" s="1" t="s">
        <v>26</v>
      </c>
      <c r="E3" s="3"/>
      <c r="H3" s="3">
        <v>112.76</v>
      </c>
      <c r="I3" s="13">
        <f>SUM(E3:H3)</f>
        <v>112.76</v>
      </c>
    </row>
    <row r="4" spans="1:12" s="12" customFormat="1" ht="45">
      <c r="A4" s="14">
        <v>43318</v>
      </c>
      <c r="B4" s="1"/>
      <c r="C4" s="46" t="s">
        <v>162</v>
      </c>
      <c r="D4" s="1" t="s">
        <v>163</v>
      </c>
      <c r="E4" s="3"/>
      <c r="G4" s="3">
        <v>250</v>
      </c>
      <c r="H4" s="3"/>
      <c r="I4" s="13">
        <f>SUM(E4:H4)</f>
        <v>250</v>
      </c>
    </row>
    <row r="5" spans="1:12" s="12" customFormat="1" ht="45">
      <c r="A5" s="14">
        <v>43385</v>
      </c>
      <c r="B5" s="1"/>
      <c r="C5" s="46" t="s">
        <v>179</v>
      </c>
      <c r="D5" s="1" t="s">
        <v>181</v>
      </c>
      <c r="E5" s="3"/>
      <c r="F5" s="12">
        <v>280.36</v>
      </c>
      <c r="G5" s="3"/>
      <c r="H5" s="3"/>
      <c r="I5" s="13">
        <f t="shared" ref="I5:I7" si="0">SUM(E5:H5)</f>
        <v>280.36</v>
      </c>
    </row>
    <row r="6" spans="1:12" s="12" customFormat="1" ht="45">
      <c r="A6" s="14">
        <v>43385</v>
      </c>
      <c r="B6" s="1"/>
      <c r="C6" s="46" t="s">
        <v>180</v>
      </c>
      <c r="D6" s="1" t="s">
        <v>181</v>
      </c>
      <c r="E6" s="3"/>
      <c r="F6" s="12">
        <v>50.58</v>
      </c>
      <c r="G6" s="3"/>
      <c r="H6" s="3"/>
      <c r="I6" s="13">
        <f t="shared" si="0"/>
        <v>50.58</v>
      </c>
    </row>
    <row r="7" spans="1:12" s="12" customFormat="1" ht="45">
      <c r="A7" s="14">
        <v>43538</v>
      </c>
      <c r="B7" s="1"/>
      <c r="C7" s="46" t="s">
        <v>162</v>
      </c>
      <c r="D7" s="1" t="s">
        <v>190</v>
      </c>
      <c r="E7" s="3"/>
      <c r="G7" s="3">
        <v>23507</v>
      </c>
      <c r="H7" s="3"/>
      <c r="I7" s="13">
        <f t="shared" si="0"/>
        <v>23507</v>
      </c>
    </row>
    <row r="8" spans="1:12" s="4" customFormat="1">
      <c r="A8" s="4" t="s">
        <v>8</v>
      </c>
      <c r="C8" s="5"/>
      <c r="D8" s="5"/>
      <c r="E8" s="6">
        <f>SUM(E2:E7)</f>
        <v>3274</v>
      </c>
      <c r="F8" s="6">
        <f t="shared" ref="F8:I8" si="1">SUM(F2:F7)</f>
        <v>330.94</v>
      </c>
      <c r="G8" s="6">
        <f t="shared" si="1"/>
        <v>23757</v>
      </c>
      <c r="H8" s="6">
        <f t="shared" si="1"/>
        <v>112.76</v>
      </c>
      <c r="I8" s="6">
        <f t="shared" si="1"/>
        <v>27474.7</v>
      </c>
      <c r="L8" s="6">
        <f>I8-I7</f>
        <v>3967.7000000000007</v>
      </c>
    </row>
  </sheetData>
  <pageMargins left="0.7" right="0.7" top="0.75" bottom="0.75" header="0.3" footer="0.3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21"/>
  <sheetViews>
    <sheetView tabSelected="1" workbookViewId="0">
      <selection activeCell="K21" sqref="K21"/>
    </sheetView>
  </sheetViews>
  <sheetFormatPr defaultRowHeight="15"/>
  <cols>
    <col min="2" max="2" width="22.5703125" customWidth="1"/>
    <col min="3" max="3" width="12.140625" customWidth="1"/>
    <col min="4" max="4" width="11.7109375" customWidth="1"/>
    <col min="5" max="5" width="20.42578125" customWidth="1"/>
    <col min="6" max="6" width="11.5703125" customWidth="1"/>
    <col min="7" max="7" width="12.140625" customWidth="1"/>
    <col min="8" max="8" width="20.42578125" customWidth="1"/>
    <col min="9" max="9" width="12.140625" customWidth="1"/>
    <col min="10" max="10" width="11.5703125" customWidth="1"/>
    <col min="11" max="11" width="19" customWidth="1"/>
    <col min="13" max="13" width="10.5703125" bestFit="1" customWidth="1"/>
  </cols>
  <sheetData>
    <row r="1" spans="2:11">
      <c r="B1" s="4" t="s">
        <v>119</v>
      </c>
    </row>
    <row r="2" spans="2:11" ht="46.5" customHeight="1">
      <c r="C2" s="4" t="s">
        <v>113</v>
      </c>
      <c r="D2" s="5" t="s">
        <v>114</v>
      </c>
      <c r="E2" s="5" t="s">
        <v>115</v>
      </c>
      <c r="F2" s="5" t="s">
        <v>132</v>
      </c>
      <c r="G2" s="5" t="s">
        <v>140</v>
      </c>
      <c r="H2" s="5" t="s">
        <v>143</v>
      </c>
      <c r="I2" s="5" t="s">
        <v>176</v>
      </c>
      <c r="J2" s="5" t="s">
        <v>177</v>
      </c>
      <c r="K2" s="5" t="s">
        <v>178</v>
      </c>
    </row>
    <row r="3" spans="2:11">
      <c r="B3" s="40" t="s">
        <v>107</v>
      </c>
      <c r="C3" s="3">
        <v>583</v>
      </c>
      <c r="D3" s="3">
        <v>406.96999999999997</v>
      </c>
      <c r="E3" s="3">
        <f>C3-D3</f>
        <v>176.03000000000003</v>
      </c>
      <c r="F3" s="3">
        <v>79.16</v>
      </c>
      <c r="G3" s="3">
        <v>0</v>
      </c>
      <c r="H3" s="3">
        <v>96.870000000000033</v>
      </c>
      <c r="K3" s="3">
        <f>H3+J3-I3</f>
        <v>96.870000000000033</v>
      </c>
    </row>
    <row r="4" spans="2:11">
      <c r="B4" s="40" t="s">
        <v>109</v>
      </c>
      <c r="C4" s="3">
        <v>600</v>
      </c>
      <c r="D4" s="3">
        <v>600</v>
      </c>
      <c r="E4" s="3">
        <f t="shared" ref="E4:E7" si="0">C4-D4</f>
        <v>0</v>
      </c>
      <c r="F4" s="3">
        <v>0</v>
      </c>
      <c r="G4" s="3">
        <v>0</v>
      </c>
      <c r="H4" s="3">
        <v>0</v>
      </c>
      <c r="K4" s="3">
        <f t="shared" ref="K4:K11" si="1">H4+J4-I4</f>
        <v>0</v>
      </c>
    </row>
    <row r="5" spans="2:11">
      <c r="B5" s="40" t="s">
        <v>108</v>
      </c>
      <c r="C5" s="3">
        <v>1500</v>
      </c>
      <c r="D5" s="3">
        <v>1115.4000000000001</v>
      </c>
      <c r="E5" s="3">
        <f t="shared" si="0"/>
        <v>384.59999999999991</v>
      </c>
      <c r="F5" s="3">
        <v>189.97</v>
      </c>
      <c r="G5" s="3">
        <v>0</v>
      </c>
      <c r="H5" s="3">
        <f>E5-F5</f>
        <v>194.62999999999991</v>
      </c>
      <c r="K5" s="3">
        <f t="shared" si="1"/>
        <v>194.62999999999991</v>
      </c>
    </row>
    <row r="6" spans="2:11">
      <c r="B6" s="41" t="s">
        <v>110</v>
      </c>
      <c r="C6" s="3">
        <v>780</v>
      </c>
      <c r="D6" s="39">
        <v>516.41999999999996</v>
      </c>
      <c r="E6" s="3">
        <f t="shared" si="0"/>
        <v>263.58000000000004</v>
      </c>
      <c r="F6" s="3">
        <v>648.94000000000005</v>
      </c>
      <c r="G6" s="3">
        <v>2460</v>
      </c>
      <c r="H6" s="3">
        <v>2074.64</v>
      </c>
      <c r="I6" s="3">
        <f>Expenditure!N45</f>
        <v>697.46000000000015</v>
      </c>
      <c r="K6" s="3">
        <f t="shared" si="1"/>
        <v>1377.1799999999998</v>
      </c>
    </row>
    <row r="7" spans="2:11">
      <c r="B7" s="40" t="s">
        <v>99</v>
      </c>
      <c r="C7" s="3">
        <v>2000</v>
      </c>
      <c r="D7" s="3">
        <v>1406</v>
      </c>
      <c r="E7" s="3">
        <f t="shared" si="0"/>
        <v>594</v>
      </c>
      <c r="F7" s="3">
        <v>180</v>
      </c>
      <c r="G7" s="3">
        <v>0</v>
      </c>
      <c r="H7" s="3">
        <v>414</v>
      </c>
      <c r="K7" s="3">
        <f t="shared" si="1"/>
        <v>414</v>
      </c>
    </row>
    <row r="8" spans="2:11">
      <c r="B8" s="42" t="s">
        <v>137</v>
      </c>
      <c r="C8" s="3"/>
      <c r="D8" s="3"/>
      <c r="E8" s="3"/>
      <c r="F8" s="3">
        <v>0</v>
      </c>
      <c r="G8" s="3">
        <v>972</v>
      </c>
      <c r="H8" s="3">
        <v>972</v>
      </c>
      <c r="I8" s="3">
        <f>Expenditure!O41</f>
        <v>284.69</v>
      </c>
      <c r="K8" s="3">
        <f t="shared" si="1"/>
        <v>687.31</v>
      </c>
    </row>
    <row r="9" spans="2:11">
      <c r="B9" s="42" t="s">
        <v>189</v>
      </c>
      <c r="C9" s="3"/>
      <c r="D9" s="3"/>
      <c r="E9" s="3"/>
      <c r="F9" s="3"/>
      <c r="G9" s="3"/>
      <c r="H9" s="3"/>
      <c r="I9" s="3"/>
      <c r="J9" s="3">
        <v>23507</v>
      </c>
      <c r="K9" s="3">
        <f t="shared" si="1"/>
        <v>23507</v>
      </c>
    </row>
    <row r="10" spans="2:11">
      <c r="B10" s="42" t="s">
        <v>192</v>
      </c>
      <c r="C10" s="3"/>
      <c r="D10" s="3"/>
      <c r="E10" s="3"/>
      <c r="F10" s="3"/>
      <c r="G10" s="3"/>
      <c r="H10" s="3"/>
      <c r="I10" s="3">
        <v>208.33</v>
      </c>
      <c r="J10" s="3">
        <v>250</v>
      </c>
      <c r="K10" s="3">
        <f t="shared" si="1"/>
        <v>41.669999999999987</v>
      </c>
    </row>
    <row r="11" spans="2:11">
      <c r="B11" s="38" t="s">
        <v>13</v>
      </c>
      <c r="C11" s="6">
        <f>SUM(C3:C10)</f>
        <v>5463</v>
      </c>
      <c r="D11" s="6">
        <f t="shared" ref="D11:J11" si="2">SUM(D3:D10)</f>
        <v>4044.79</v>
      </c>
      <c r="E11" s="6">
        <f t="shared" si="2"/>
        <v>1418.21</v>
      </c>
      <c r="F11" s="6">
        <f t="shared" si="2"/>
        <v>1098.0700000000002</v>
      </c>
      <c r="G11" s="6">
        <f t="shared" si="2"/>
        <v>3432</v>
      </c>
      <c r="H11" s="6">
        <f t="shared" si="2"/>
        <v>3752.14</v>
      </c>
      <c r="I11" s="6">
        <f t="shared" si="2"/>
        <v>1190.48</v>
      </c>
      <c r="J11" s="6">
        <f t="shared" si="2"/>
        <v>23757</v>
      </c>
      <c r="K11" s="6">
        <f t="shared" si="1"/>
        <v>26318.66</v>
      </c>
    </row>
    <row r="14" spans="2:11">
      <c r="B14" s="4" t="s">
        <v>123</v>
      </c>
      <c r="D14" s="22" t="s">
        <v>124</v>
      </c>
      <c r="E14" s="22" t="s">
        <v>125</v>
      </c>
      <c r="F14" s="22"/>
      <c r="G14" s="22"/>
      <c r="H14" s="22"/>
    </row>
    <row r="15" spans="2:11">
      <c r="B15" t="s">
        <v>126</v>
      </c>
      <c r="D15" s="3">
        <v>1645.74</v>
      </c>
      <c r="E15" s="3">
        <v>1249.68</v>
      </c>
      <c r="F15" s="3">
        <v>3845.4699999999989</v>
      </c>
      <c r="G15" s="3">
        <v>4043.3599999999997</v>
      </c>
      <c r="H15" s="3">
        <v>1637.54</v>
      </c>
      <c r="I15" s="3">
        <f>Expenditure!R45-I11</f>
        <v>4037.0099999999989</v>
      </c>
      <c r="J15" s="3">
        <f>Income!I8-Income!I7-Income!I4</f>
        <v>3717.7000000000007</v>
      </c>
      <c r="K15" s="3">
        <f>H15+J15-I15</f>
        <v>1318.2300000000018</v>
      </c>
    </row>
    <row r="16" spans="2:11">
      <c r="B16" t="s">
        <v>94</v>
      </c>
      <c r="D16" s="3">
        <v>0</v>
      </c>
      <c r="E16" s="3">
        <f>E11</f>
        <v>1418.21</v>
      </c>
      <c r="F16" s="3">
        <v>908.1</v>
      </c>
      <c r="G16" s="3">
        <v>3432</v>
      </c>
      <c r="H16" s="3">
        <f>H11</f>
        <v>3752.14</v>
      </c>
      <c r="I16" s="3">
        <f>I11</f>
        <v>1190.48</v>
      </c>
      <c r="J16" s="3">
        <f>J11</f>
        <v>23757</v>
      </c>
      <c r="K16" s="3">
        <f>H16+J16-I16</f>
        <v>26318.66</v>
      </c>
    </row>
    <row r="17" spans="2:13">
      <c r="B17" s="4" t="s">
        <v>13</v>
      </c>
      <c r="D17" s="6">
        <f>D15+D16</f>
        <v>1645.74</v>
      </c>
      <c r="E17" s="6">
        <f>E15+E16</f>
        <v>2667.8900000000003</v>
      </c>
      <c r="F17" s="6">
        <v>4753.5699999999988</v>
      </c>
      <c r="G17" s="6">
        <v>7475.36</v>
      </c>
      <c r="H17" s="6">
        <f>SUM(H15:H16)</f>
        <v>5389.68</v>
      </c>
      <c r="I17" s="6">
        <f t="shared" ref="I17:K17" si="3">SUM(I15:I16)</f>
        <v>5227.4899999999989</v>
      </c>
      <c r="J17" s="6">
        <f t="shared" si="3"/>
        <v>27474.7</v>
      </c>
      <c r="K17" s="6">
        <f t="shared" si="3"/>
        <v>27636.890000000003</v>
      </c>
      <c r="M17" s="3"/>
    </row>
    <row r="20" spans="2:13">
      <c r="H20" s="3"/>
    </row>
    <row r="21" spans="2:13">
      <c r="H21" s="3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Normal="100" workbookViewId="0">
      <pane ySplit="1" topLeftCell="A2" activePane="bottomLeft" state="frozen"/>
      <selection activeCell="B1" sqref="B1"/>
      <selection pane="bottomLeft" activeCell="K13" sqref="K13"/>
    </sheetView>
  </sheetViews>
  <sheetFormatPr defaultRowHeight="15"/>
  <cols>
    <col min="1" max="1" width="10.7109375" bestFit="1" customWidth="1"/>
    <col min="2" max="2" width="10.140625" customWidth="1"/>
    <col min="3" max="3" width="10.85546875" customWidth="1"/>
    <col min="4" max="4" width="17.28515625" style="1" customWidth="1"/>
    <col min="5" max="5" width="26.7109375" style="1" customWidth="1"/>
    <col min="6" max="6" width="9.42578125" customWidth="1"/>
    <col min="7" max="7" width="11.7109375" customWidth="1"/>
    <col min="8" max="8" width="10.5703125" bestFit="1" customWidth="1"/>
    <col min="11" max="11" width="13.7109375" customWidth="1"/>
  </cols>
  <sheetData>
    <row r="1" spans="1:11">
      <c r="A1" t="s">
        <v>0</v>
      </c>
      <c r="B1" t="s">
        <v>10</v>
      </c>
      <c r="C1" t="s">
        <v>9</v>
      </c>
      <c r="D1" s="1" t="s">
        <v>11</v>
      </c>
      <c r="E1" s="1" t="s">
        <v>2</v>
      </c>
      <c r="F1" t="s">
        <v>15</v>
      </c>
      <c r="G1" t="s">
        <v>4</v>
      </c>
      <c r="H1" t="s">
        <v>17</v>
      </c>
      <c r="I1" t="s">
        <v>18</v>
      </c>
      <c r="J1" t="s">
        <v>3</v>
      </c>
      <c r="K1" t="s">
        <v>33</v>
      </c>
    </row>
    <row r="2" spans="1:11" ht="30">
      <c r="A2">
        <v>43270</v>
      </c>
      <c r="B2">
        <v>517</v>
      </c>
      <c r="D2" s="1" t="s">
        <v>151</v>
      </c>
      <c r="E2" s="1" t="s">
        <v>152</v>
      </c>
      <c r="G2">
        <v>208.33</v>
      </c>
      <c r="H2">
        <v>208.33</v>
      </c>
      <c r="I2">
        <v>41.67</v>
      </c>
      <c r="J2">
        <v>250</v>
      </c>
      <c r="K2" t="s">
        <v>156</v>
      </c>
    </row>
    <row r="3" spans="1:11" ht="30">
      <c r="A3">
        <v>43270</v>
      </c>
      <c r="B3">
        <v>518</v>
      </c>
      <c r="D3" s="1" t="s">
        <v>154</v>
      </c>
      <c r="E3" s="1" t="s">
        <v>155</v>
      </c>
      <c r="F3" s="3"/>
      <c r="G3" s="3">
        <v>250</v>
      </c>
      <c r="H3" s="3">
        <v>250</v>
      </c>
      <c r="I3" s="3">
        <v>50</v>
      </c>
      <c r="J3" s="3">
        <v>300</v>
      </c>
      <c r="K3" t="s">
        <v>153</v>
      </c>
    </row>
    <row r="4" spans="1:11">
      <c r="A4">
        <v>43298</v>
      </c>
      <c r="B4">
        <v>522</v>
      </c>
      <c r="D4" s="1" t="s">
        <v>159</v>
      </c>
      <c r="E4" s="1" t="s">
        <v>160</v>
      </c>
      <c r="F4" s="3">
        <v>98</v>
      </c>
      <c r="G4" s="3"/>
      <c r="H4" s="3">
        <v>98</v>
      </c>
      <c r="I4" s="3">
        <v>19.600000000000001</v>
      </c>
      <c r="J4" s="3">
        <v>117.6</v>
      </c>
      <c r="K4" t="s">
        <v>161</v>
      </c>
    </row>
    <row r="5" spans="1:11" ht="30">
      <c r="A5">
        <v>43347</v>
      </c>
      <c r="B5">
        <v>525</v>
      </c>
      <c r="D5" s="1" t="s">
        <v>146</v>
      </c>
      <c r="E5" s="1" t="s">
        <v>164</v>
      </c>
      <c r="F5" s="3"/>
      <c r="G5" s="3">
        <v>100</v>
      </c>
      <c r="H5" s="3">
        <v>100</v>
      </c>
      <c r="I5" s="3">
        <v>20</v>
      </c>
      <c r="J5" s="3">
        <v>120</v>
      </c>
      <c r="K5" t="s">
        <v>165</v>
      </c>
    </row>
    <row r="6" spans="1:11">
      <c r="A6">
        <v>43389</v>
      </c>
      <c r="B6">
        <v>534</v>
      </c>
      <c r="D6" s="1" t="s">
        <v>170</v>
      </c>
      <c r="E6" s="1" t="s">
        <v>168</v>
      </c>
      <c r="F6" s="3"/>
      <c r="G6" s="3">
        <v>25</v>
      </c>
      <c r="H6" s="3">
        <v>25</v>
      </c>
      <c r="I6" s="3">
        <v>5</v>
      </c>
      <c r="J6" s="3">
        <v>30</v>
      </c>
      <c r="K6" t="s">
        <v>169</v>
      </c>
    </row>
    <row r="7" spans="1:11" ht="30">
      <c r="A7">
        <v>43389</v>
      </c>
      <c r="B7">
        <v>535</v>
      </c>
      <c r="D7" s="1" t="s">
        <v>146</v>
      </c>
      <c r="E7" s="1" t="s">
        <v>171</v>
      </c>
      <c r="F7" s="3"/>
      <c r="G7" s="3">
        <v>139.16999999999999</v>
      </c>
      <c r="H7" s="3">
        <v>139.16999999999999</v>
      </c>
      <c r="I7" s="3">
        <v>27.83</v>
      </c>
      <c r="J7" s="3">
        <v>167</v>
      </c>
      <c r="K7" t="s">
        <v>165</v>
      </c>
    </row>
    <row r="8" spans="1:11">
      <c r="I8" s="6">
        <f>SUM(I2:I7)</f>
        <v>164.10000000000002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1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zoomScaleNormal="100" workbookViewId="0">
      <pane ySplit="1" topLeftCell="A2" activePane="bottomLeft" state="frozen"/>
      <selection activeCell="B1" sqref="B1"/>
      <selection pane="bottomLeft" activeCell="R1" sqref="A1:R1"/>
    </sheetView>
  </sheetViews>
  <sheetFormatPr defaultRowHeight="15"/>
  <cols>
    <col min="1" max="1" width="10.7109375" bestFit="1" customWidth="1"/>
    <col min="2" max="2" width="10.140625" customWidth="1"/>
    <col min="3" max="3" width="10.85546875" customWidth="1"/>
    <col min="4" max="4" width="17.28515625" style="1" customWidth="1"/>
    <col min="5" max="5" width="15.140625" style="1" customWidth="1"/>
    <col min="6" max="6" width="10.42578125" customWidth="1"/>
    <col min="7" max="7" width="10.28515625" customWidth="1"/>
    <col min="8" max="8" width="13" customWidth="1"/>
    <col min="9" max="11" width="10.28515625" customWidth="1"/>
    <col min="12" max="12" width="11.7109375" customWidth="1"/>
    <col min="13" max="13" width="10.28515625" customWidth="1"/>
    <col min="14" max="14" width="9.5703125" customWidth="1"/>
    <col min="15" max="15" width="10.5703125" customWidth="1"/>
    <col min="16" max="16" width="11.85546875" bestFit="1" customWidth="1"/>
    <col min="17" max="17" width="10.140625" bestFit="1" customWidth="1"/>
    <col min="18" max="18" width="11.85546875" bestFit="1" customWidth="1"/>
    <col min="19" max="19" width="11.7109375" customWidth="1"/>
    <col min="20" max="20" width="10.5703125" bestFit="1" customWidth="1"/>
  </cols>
  <sheetData>
    <row r="1" spans="1:19" s="5" customFormat="1" ht="45">
      <c r="A1" s="5" t="s">
        <v>0</v>
      </c>
      <c r="B1" s="5" t="s">
        <v>10</v>
      </c>
      <c r="C1" s="5" t="s">
        <v>9</v>
      </c>
      <c r="D1" s="5" t="s">
        <v>11</v>
      </c>
      <c r="E1" s="5" t="s">
        <v>2</v>
      </c>
      <c r="F1" s="5" t="s">
        <v>14</v>
      </c>
      <c r="G1" s="27" t="s">
        <v>67</v>
      </c>
      <c r="H1" s="27" t="s">
        <v>19</v>
      </c>
      <c r="I1" s="27" t="s">
        <v>15</v>
      </c>
      <c r="J1" s="27" t="s">
        <v>16</v>
      </c>
      <c r="K1" s="27" t="s">
        <v>5</v>
      </c>
      <c r="L1" s="27" t="s">
        <v>68</v>
      </c>
      <c r="M1" s="27" t="s">
        <v>131</v>
      </c>
      <c r="N1" s="27" t="s">
        <v>97</v>
      </c>
      <c r="O1" s="27" t="s">
        <v>4</v>
      </c>
      <c r="P1" s="5" t="s">
        <v>17</v>
      </c>
      <c r="Q1" s="5" t="s">
        <v>18</v>
      </c>
      <c r="R1" s="5" t="s">
        <v>3</v>
      </c>
      <c r="S1" s="5" t="s">
        <v>33</v>
      </c>
    </row>
    <row r="2" spans="1:19" ht="30">
      <c r="A2" s="48">
        <v>43207</v>
      </c>
      <c r="B2" s="46">
        <v>511</v>
      </c>
      <c r="C2" s="46">
        <v>9414</v>
      </c>
      <c r="D2" s="46" t="s">
        <v>85</v>
      </c>
      <c r="E2" s="46" t="s">
        <v>145</v>
      </c>
      <c r="F2" s="3"/>
      <c r="G2" s="3"/>
      <c r="H2" s="3">
        <v>62.71</v>
      </c>
      <c r="I2" s="3"/>
      <c r="J2" s="3"/>
      <c r="K2" s="3"/>
      <c r="L2" s="3"/>
      <c r="M2" s="3"/>
      <c r="N2" s="3"/>
      <c r="O2" s="3"/>
      <c r="P2" s="3">
        <f>SUM(F2:O2)</f>
        <v>62.71</v>
      </c>
      <c r="Q2" s="3"/>
      <c r="R2" s="3">
        <f>P2+Q2</f>
        <v>62.71</v>
      </c>
    </row>
    <row r="3" spans="1:19">
      <c r="A3" s="47">
        <v>43207</v>
      </c>
      <c r="B3" s="46">
        <v>512</v>
      </c>
      <c r="C3" s="46"/>
      <c r="D3" s="46" t="s">
        <v>95</v>
      </c>
      <c r="E3" s="46" t="s">
        <v>96</v>
      </c>
      <c r="N3" s="3">
        <v>46.8</v>
      </c>
      <c r="P3" s="3">
        <f t="shared" ref="P3:P4" si="0">SUM(F3:O3)</f>
        <v>46.8</v>
      </c>
      <c r="Q3" s="3"/>
      <c r="R3" s="3">
        <f t="shared" ref="R3:R4" si="1">P3+Q3</f>
        <v>46.8</v>
      </c>
    </row>
    <row r="4" spans="1:19">
      <c r="A4" s="47">
        <v>43207</v>
      </c>
      <c r="B4" s="46">
        <v>513</v>
      </c>
      <c r="C4" s="46"/>
      <c r="D4" s="46" t="s">
        <v>83</v>
      </c>
      <c r="E4" s="46" t="s">
        <v>84</v>
      </c>
      <c r="F4" s="3">
        <v>122.8</v>
      </c>
      <c r="G4" s="3"/>
      <c r="H4" s="3"/>
      <c r="I4" s="3"/>
      <c r="J4" s="3"/>
      <c r="K4" s="3"/>
      <c r="L4" s="3"/>
      <c r="M4" s="3"/>
      <c r="N4" s="3"/>
      <c r="O4" s="3"/>
      <c r="P4" s="3">
        <f t="shared" si="0"/>
        <v>122.8</v>
      </c>
      <c r="Q4" s="3"/>
      <c r="R4" s="3">
        <f t="shared" si="1"/>
        <v>122.8</v>
      </c>
    </row>
    <row r="5" spans="1:19">
      <c r="A5" s="47">
        <v>43242</v>
      </c>
      <c r="B5" s="46">
        <v>514</v>
      </c>
      <c r="C5" s="46"/>
      <c r="D5" s="46" t="s">
        <v>95</v>
      </c>
      <c r="E5" s="46" t="s">
        <v>96</v>
      </c>
      <c r="F5" s="3"/>
      <c r="G5" s="3"/>
      <c r="H5" s="3"/>
      <c r="I5" s="3"/>
      <c r="J5" s="3"/>
      <c r="K5" s="3"/>
      <c r="L5" s="3"/>
      <c r="M5" s="3"/>
      <c r="N5" s="3">
        <v>56.5</v>
      </c>
      <c r="O5" s="3"/>
      <c r="P5" s="3">
        <f t="shared" ref="P5:P26" si="2">SUM(F5:O5)</f>
        <v>56.5</v>
      </c>
      <c r="Q5" s="3"/>
      <c r="R5" s="3">
        <f t="shared" ref="R5:R26" si="3">P5+Q5</f>
        <v>56.5</v>
      </c>
    </row>
    <row r="6" spans="1:19">
      <c r="A6" s="47">
        <v>43242</v>
      </c>
      <c r="B6" s="46">
        <v>515</v>
      </c>
      <c r="C6" s="46"/>
      <c r="D6" s="46" t="s">
        <v>83</v>
      </c>
      <c r="E6" s="46" t="s">
        <v>84</v>
      </c>
      <c r="F6" s="3">
        <v>122.8</v>
      </c>
      <c r="G6" s="3"/>
      <c r="H6" s="3"/>
      <c r="I6" s="3"/>
      <c r="J6" s="3"/>
      <c r="K6" s="3"/>
      <c r="L6" s="3"/>
      <c r="M6" s="3"/>
      <c r="N6" s="3"/>
      <c r="O6" s="3"/>
      <c r="P6" s="3">
        <f t="shared" si="2"/>
        <v>122.8</v>
      </c>
      <c r="Q6" s="3"/>
      <c r="R6" s="3">
        <f t="shared" si="3"/>
        <v>122.8</v>
      </c>
    </row>
    <row r="7" spans="1:19" ht="30">
      <c r="A7" s="47">
        <v>43242</v>
      </c>
      <c r="B7" s="46">
        <v>516</v>
      </c>
      <c r="C7" s="46"/>
      <c r="D7" s="46" t="s">
        <v>149</v>
      </c>
      <c r="E7" s="46" t="s">
        <v>150</v>
      </c>
      <c r="F7" s="3"/>
      <c r="G7" s="3"/>
      <c r="H7" s="3"/>
      <c r="I7" s="3"/>
      <c r="J7" s="3">
        <v>303.38</v>
      </c>
      <c r="K7" s="3"/>
      <c r="L7" s="3"/>
      <c r="M7" s="3"/>
      <c r="N7" s="3"/>
      <c r="O7" s="3"/>
      <c r="P7" s="3">
        <f t="shared" si="2"/>
        <v>303.38</v>
      </c>
      <c r="Q7" s="3"/>
      <c r="R7" s="3">
        <f t="shared" si="3"/>
        <v>303.38</v>
      </c>
    </row>
    <row r="8" spans="1:19" ht="30">
      <c r="A8" s="47">
        <v>43270</v>
      </c>
      <c r="B8" s="46">
        <v>517</v>
      </c>
      <c r="C8" s="46"/>
      <c r="D8" s="46" t="s">
        <v>151</v>
      </c>
      <c r="E8" s="46" t="s">
        <v>152</v>
      </c>
      <c r="F8" s="3"/>
      <c r="G8" s="3"/>
      <c r="H8" s="3"/>
      <c r="I8" s="3"/>
      <c r="J8" s="3"/>
      <c r="K8" s="3"/>
      <c r="L8" s="3"/>
      <c r="M8" s="3"/>
      <c r="N8" s="3"/>
      <c r="O8" s="3">
        <v>208.33</v>
      </c>
      <c r="P8" s="3">
        <f t="shared" si="2"/>
        <v>208.33</v>
      </c>
      <c r="Q8" s="3">
        <v>41.67</v>
      </c>
      <c r="R8" s="3">
        <f t="shared" si="3"/>
        <v>250</v>
      </c>
      <c r="S8" t="s">
        <v>156</v>
      </c>
    </row>
    <row r="9" spans="1:19" ht="30">
      <c r="A9" s="47">
        <v>43270</v>
      </c>
      <c r="B9" s="46">
        <v>518</v>
      </c>
      <c r="C9" s="46"/>
      <c r="D9" s="46" t="s">
        <v>154</v>
      </c>
      <c r="E9" s="46" t="s">
        <v>155</v>
      </c>
      <c r="F9" s="3"/>
      <c r="G9" s="3"/>
      <c r="H9" s="3"/>
      <c r="I9" s="3"/>
      <c r="J9" s="3"/>
      <c r="K9" s="3"/>
      <c r="L9" s="3"/>
      <c r="M9" s="3"/>
      <c r="N9" s="3"/>
      <c r="O9" s="3">
        <v>250</v>
      </c>
      <c r="P9" s="3">
        <f t="shared" si="2"/>
        <v>250</v>
      </c>
      <c r="Q9" s="3">
        <v>50</v>
      </c>
      <c r="R9" s="3">
        <f t="shared" si="3"/>
        <v>300</v>
      </c>
      <c r="S9" t="s">
        <v>153</v>
      </c>
    </row>
    <row r="10" spans="1:19">
      <c r="A10" s="47">
        <v>43298</v>
      </c>
      <c r="B10" s="46">
        <v>519</v>
      </c>
      <c r="C10" s="46"/>
      <c r="D10" s="46" t="s">
        <v>95</v>
      </c>
      <c r="E10" s="46" t="s">
        <v>96</v>
      </c>
      <c r="F10" s="3"/>
      <c r="G10" s="3"/>
      <c r="H10" s="3"/>
      <c r="I10" s="3"/>
      <c r="J10" s="3"/>
      <c r="K10" s="3"/>
      <c r="L10" s="3"/>
      <c r="M10" s="3"/>
      <c r="N10" s="3">
        <v>46.8</v>
      </c>
      <c r="O10" s="3"/>
      <c r="P10" s="3">
        <f t="shared" si="2"/>
        <v>46.8</v>
      </c>
      <c r="Q10" s="3"/>
      <c r="R10" s="3">
        <f t="shared" si="3"/>
        <v>46.8</v>
      </c>
    </row>
    <row r="11" spans="1:19">
      <c r="A11" s="47">
        <v>43298</v>
      </c>
      <c r="B11" s="46">
        <v>520</v>
      </c>
      <c r="C11" s="46"/>
      <c r="D11" s="46" t="s">
        <v>83</v>
      </c>
      <c r="E11" s="46" t="s">
        <v>84</v>
      </c>
      <c r="F11" s="3">
        <v>122.8</v>
      </c>
      <c r="G11" s="3"/>
      <c r="H11" s="3"/>
      <c r="I11" s="3"/>
      <c r="J11" s="3"/>
      <c r="K11" s="3"/>
      <c r="L11" s="3"/>
      <c r="M11" s="3"/>
      <c r="N11" s="3"/>
      <c r="P11" s="3">
        <f t="shared" si="2"/>
        <v>122.8</v>
      </c>
      <c r="R11" s="3">
        <f t="shared" si="3"/>
        <v>122.8</v>
      </c>
    </row>
    <row r="12" spans="1:19">
      <c r="A12" s="47">
        <v>43298</v>
      </c>
      <c r="B12" s="46">
        <v>521</v>
      </c>
      <c r="C12" s="46"/>
      <c r="D12" s="46" t="s">
        <v>157</v>
      </c>
      <c r="E12" s="46" t="s">
        <v>158</v>
      </c>
      <c r="F12" s="3">
        <f>3*30.6</f>
        <v>91.800000000000011</v>
      </c>
      <c r="G12" s="3"/>
      <c r="H12" s="3"/>
      <c r="I12" s="3"/>
      <c r="J12" s="3"/>
      <c r="K12" s="3"/>
      <c r="L12" s="3"/>
      <c r="M12" s="3"/>
      <c r="N12" s="3">
        <f>104.2-F12</f>
        <v>12.399999999999991</v>
      </c>
      <c r="O12" s="3"/>
      <c r="P12" s="3">
        <f t="shared" si="2"/>
        <v>104.2</v>
      </c>
      <c r="Q12" s="3"/>
      <c r="R12" s="3">
        <f t="shared" si="3"/>
        <v>104.2</v>
      </c>
    </row>
    <row r="13" spans="1:19" ht="30">
      <c r="A13" s="47">
        <v>43298</v>
      </c>
      <c r="B13" s="46">
        <v>522</v>
      </c>
      <c r="C13" s="46"/>
      <c r="D13" s="46" t="s">
        <v>159</v>
      </c>
      <c r="E13" s="46" t="s">
        <v>160</v>
      </c>
      <c r="F13" s="3"/>
      <c r="G13" s="3"/>
      <c r="H13" s="3"/>
      <c r="I13" s="3">
        <v>98</v>
      </c>
      <c r="J13" s="3"/>
      <c r="K13" s="3"/>
      <c r="L13" s="3"/>
      <c r="M13" s="3"/>
      <c r="N13" s="3"/>
      <c r="O13" s="3"/>
      <c r="P13" s="3">
        <f t="shared" si="2"/>
        <v>98</v>
      </c>
      <c r="Q13" s="3">
        <v>19.600000000000001</v>
      </c>
      <c r="R13" s="3">
        <f t="shared" si="3"/>
        <v>117.6</v>
      </c>
      <c r="S13" t="s">
        <v>161</v>
      </c>
    </row>
    <row r="14" spans="1:19">
      <c r="A14" s="47">
        <v>43298</v>
      </c>
      <c r="B14" s="46">
        <v>523</v>
      </c>
      <c r="C14" s="46"/>
      <c r="D14" s="46" t="s">
        <v>95</v>
      </c>
      <c r="E14" s="46" t="s">
        <v>96</v>
      </c>
      <c r="F14" s="3"/>
      <c r="G14" s="3"/>
      <c r="H14" s="3"/>
      <c r="I14" s="3"/>
      <c r="J14" s="3"/>
      <c r="K14" s="3"/>
      <c r="L14" s="3"/>
      <c r="M14" s="3"/>
      <c r="N14" s="3">
        <v>56.5</v>
      </c>
      <c r="O14" s="3"/>
      <c r="P14" s="3">
        <f t="shared" si="2"/>
        <v>56.5</v>
      </c>
      <c r="Q14" s="3"/>
      <c r="R14" s="3">
        <f t="shared" si="3"/>
        <v>56.5</v>
      </c>
    </row>
    <row r="15" spans="1:19">
      <c r="A15" s="47">
        <v>43298</v>
      </c>
      <c r="B15" s="46">
        <v>524</v>
      </c>
      <c r="C15" s="46"/>
      <c r="D15" s="46" t="s">
        <v>83</v>
      </c>
      <c r="E15" s="46" t="s">
        <v>84</v>
      </c>
      <c r="F15" s="3">
        <v>122.8</v>
      </c>
      <c r="G15" s="3"/>
      <c r="H15" s="3"/>
      <c r="I15" s="3"/>
      <c r="J15" s="3"/>
      <c r="K15" s="3"/>
      <c r="L15" s="3"/>
      <c r="M15" s="3"/>
      <c r="N15" s="3"/>
      <c r="O15" s="3"/>
      <c r="P15" s="3">
        <f t="shared" si="2"/>
        <v>122.8</v>
      </c>
      <c r="Q15" s="3"/>
      <c r="R15" s="3">
        <f t="shared" si="3"/>
        <v>122.8</v>
      </c>
    </row>
    <row r="16" spans="1:19" ht="30">
      <c r="A16" s="47">
        <v>43347</v>
      </c>
      <c r="B16" s="46">
        <v>525</v>
      </c>
      <c r="C16" s="46"/>
      <c r="D16" s="46" t="s">
        <v>146</v>
      </c>
      <c r="E16" s="46" t="s">
        <v>164</v>
      </c>
      <c r="F16" s="3"/>
      <c r="G16" s="3"/>
      <c r="H16" s="3"/>
      <c r="I16" s="3"/>
      <c r="J16" s="3"/>
      <c r="K16" s="3"/>
      <c r="L16" s="3"/>
      <c r="M16" s="3"/>
      <c r="N16" s="3"/>
      <c r="O16" s="3">
        <v>100</v>
      </c>
      <c r="P16" s="3">
        <f t="shared" si="2"/>
        <v>100</v>
      </c>
      <c r="Q16" s="3">
        <v>20</v>
      </c>
      <c r="R16" s="3">
        <f t="shared" si="3"/>
        <v>120</v>
      </c>
      <c r="S16" t="s">
        <v>165</v>
      </c>
    </row>
    <row r="17" spans="1:24">
      <c r="A17" s="2">
        <v>43347</v>
      </c>
      <c r="B17" s="46">
        <v>526</v>
      </c>
      <c r="D17" s="1" t="s">
        <v>95</v>
      </c>
      <c r="E17" s="1" t="s">
        <v>96</v>
      </c>
      <c r="F17" s="3"/>
      <c r="G17" s="3"/>
      <c r="H17" s="3"/>
      <c r="I17" s="3"/>
      <c r="J17" s="3"/>
      <c r="K17" s="3"/>
      <c r="L17" s="3"/>
      <c r="M17" s="3"/>
      <c r="N17" s="3">
        <v>46.8</v>
      </c>
      <c r="O17" s="3"/>
      <c r="P17" s="3">
        <f t="shared" si="2"/>
        <v>46.8</v>
      </c>
      <c r="Q17" s="3"/>
      <c r="R17" s="3">
        <f t="shared" si="3"/>
        <v>46.8</v>
      </c>
    </row>
    <row r="18" spans="1:24">
      <c r="A18" s="2">
        <v>43347</v>
      </c>
      <c r="B18" s="46">
        <v>527</v>
      </c>
      <c r="D18" s="1" t="s">
        <v>83</v>
      </c>
      <c r="E18" s="1" t="s">
        <v>84</v>
      </c>
      <c r="F18" s="3">
        <v>122.8</v>
      </c>
      <c r="G18" s="3"/>
      <c r="H18" s="3"/>
      <c r="I18" s="3"/>
      <c r="J18" s="3"/>
      <c r="K18" s="3"/>
      <c r="L18" s="3"/>
      <c r="M18" s="3"/>
      <c r="N18" s="3"/>
      <c r="O18" s="3"/>
      <c r="P18" s="3">
        <f t="shared" si="2"/>
        <v>122.8</v>
      </c>
      <c r="Q18" s="3"/>
      <c r="R18" s="3">
        <f t="shared" si="3"/>
        <v>122.8</v>
      </c>
    </row>
    <row r="19" spans="1:24">
      <c r="A19" s="2">
        <v>43361</v>
      </c>
      <c r="B19" s="46">
        <v>528</v>
      </c>
      <c r="D19" s="1" t="s">
        <v>95</v>
      </c>
      <c r="E19" s="1" t="s">
        <v>96</v>
      </c>
      <c r="F19" s="3"/>
      <c r="G19" s="3"/>
      <c r="H19" s="3"/>
      <c r="I19" s="3"/>
      <c r="J19" s="3"/>
      <c r="K19" s="3"/>
      <c r="L19" s="3"/>
      <c r="M19" s="3"/>
      <c r="N19" s="3">
        <v>46.6</v>
      </c>
      <c r="O19" s="3"/>
      <c r="P19" s="3">
        <f t="shared" si="2"/>
        <v>46.6</v>
      </c>
      <c r="Q19" s="3"/>
      <c r="R19" s="3">
        <f t="shared" si="3"/>
        <v>46.6</v>
      </c>
    </row>
    <row r="20" spans="1:24">
      <c r="A20" s="2">
        <v>43361</v>
      </c>
      <c r="B20" s="46">
        <v>529</v>
      </c>
      <c r="D20" s="1" t="s">
        <v>83</v>
      </c>
      <c r="E20" s="1" t="s">
        <v>84</v>
      </c>
      <c r="F20" s="3">
        <v>122.8</v>
      </c>
      <c r="G20" s="3"/>
      <c r="H20" s="3"/>
      <c r="I20" s="3"/>
      <c r="J20" s="3"/>
      <c r="K20" s="3"/>
      <c r="L20" s="3"/>
      <c r="M20" s="3"/>
      <c r="N20" s="3"/>
      <c r="O20" s="3"/>
      <c r="P20" s="3">
        <f t="shared" si="2"/>
        <v>122.8</v>
      </c>
      <c r="Q20" s="3"/>
      <c r="R20" s="3">
        <f t="shared" si="3"/>
        <v>122.8</v>
      </c>
    </row>
    <row r="21" spans="1:24">
      <c r="A21" s="2">
        <v>43361</v>
      </c>
      <c r="B21" s="46">
        <v>530</v>
      </c>
      <c r="D21" s="1" t="s">
        <v>83</v>
      </c>
      <c r="E21" s="1" t="s">
        <v>166</v>
      </c>
      <c r="F21" s="3"/>
      <c r="G21" s="3"/>
      <c r="H21" s="3"/>
      <c r="I21" s="3"/>
      <c r="J21" s="3"/>
      <c r="K21" s="3"/>
      <c r="L21" s="3"/>
      <c r="M21" s="3"/>
      <c r="N21" s="3">
        <v>20.48</v>
      </c>
      <c r="O21" s="3"/>
      <c r="P21" s="3">
        <f t="shared" si="2"/>
        <v>20.48</v>
      </c>
      <c r="Q21" s="3"/>
      <c r="R21" s="3">
        <f t="shared" si="3"/>
        <v>20.48</v>
      </c>
    </row>
    <row r="22" spans="1:24">
      <c r="A22" s="2">
        <v>43389</v>
      </c>
      <c r="B22" s="46">
        <v>531</v>
      </c>
      <c r="D22" s="1" t="s">
        <v>157</v>
      </c>
      <c r="E22" s="1" t="s">
        <v>167</v>
      </c>
      <c r="F22" s="34">
        <v>91.8</v>
      </c>
      <c r="G22" s="3"/>
      <c r="H22" s="3"/>
      <c r="I22" s="3"/>
      <c r="J22" s="3"/>
      <c r="K22" s="3"/>
      <c r="L22" s="3"/>
      <c r="M22" s="3"/>
      <c r="N22" s="3">
        <v>12.6</v>
      </c>
      <c r="O22" s="3"/>
      <c r="P22" s="3">
        <f t="shared" si="2"/>
        <v>104.39999999999999</v>
      </c>
      <c r="Q22" s="3"/>
      <c r="R22" s="3">
        <f t="shared" si="3"/>
        <v>104.39999999999999</v>
      </c>
    </row>
    <row r="23" spans="1:24">
      <c r="A23" s="2">
        <v>43389</v>
      </c>
      <c r="B23" s="46">
        <v>532</v>
      </c>
      <c r="D23" s="1" t="s">
        <v>95</v>
      </c>
      <c r="E23" s="1" t="s">
        <v>96</v>
      </c>
      <c r="F23" s="3"/>
      <c r="G23" s="3"/>
      <c r="H23" s="3"/>
      <c r="I23" s="3"/>
      <c r="J23" s="3"/>
      <c r="K23" s="3"/>
      <c r="L23" s="3"/>
      <c r="M23" s="3"/>
      <c r="N23" s="3">
        <v>56.7</v>
      </c>
      <c r="O23" s="3"/>
      <c r="P23" s="3">
        <f t="shared" si="2"/>
        <v>56.7</v>
      </c>
      <c r="Q23" s="3"/>
      <c r="R23" s="3">
        <f t="shared" si="3"/>
        <v>56.7</v>
      </c>
    </row>
    <row r="24" spans="1:24">
      <c r="A24" s="2">
        <v>43389</v>
      </c>
      <c r="B24" s="46">
        <v>533</v>
      </c>
      <c r="D24" s="1" t="s">
        <v>83</v>
      </c>
      <c r="E24" s="1" t="s">
        <v>84</v>
      </c>
      <c r="F24" s="3">
        <v>122.8</v>
      </c>
      <c r="G24" s="3"/>
      <c r="H24" s="3"/>
      <c r="I24" s="3"/>
      <c r="J24" s="3"/>
      <c r="K24" s="3"/>
      <c r="L24" s="3"/>
      <c r="M24" s="3"/>
      <c r="N24" s="3"/>
      <c r="O24" s="3"/>
      <c r="P24" s="3">
        <f t="shared" si="2"/>
        <v>122.8</v>
      </c>
      <c r="Q24" s="3"/>
      <c r="R24" s="3">
        <f t="shared" si="3"/>
        <v>122.8</v>
      </c>
    </row>
    <row r="25" spans="1:24" ht="30">
      <c r="A25" s="2">
        <v>43389</v>
      </c>
      <c r="B25" s="46">
        <v>534</v>
      </c>
      <c r="D25" s="1" t="s">
        <v>170</v>
      </c>
      <c r="E25" s="1" t="s">
        <v>168</v>
      </c>
      <c r="F25" s="3"/>
      <c r="G25" s="3"/>
      <c r="H25" s="3"/>
      <c r="I25" s="3"/>
      <c r="J25" s="3"/>
      <c r="K25" s="3"/>
      <c r="L25" s="3"/>
      <c r="M25" s="3"/>
      <c r="N25" s="3"/>
      <c r="O25" s="3">
        <v>25</v>
      </c>
      <c r="P25" s="3">
        <f t="shared" si="2"/>
        <v>25</v>
      </c>
      <c r="Q25" s="3">
        <v>5</v>
      </c>
      <c r="R25" s="3">
        <f t="shared" si="3"/>
        <v>30</v>
      </c>
      <c r="S25" t="s">
        <v>169</v>
      </c>
      <c r="X25">
        <f>30/1.2</f>
        <v>25</v>
      </c>
    </row>
    <row r="26" spans="1:24" ht="30">
      <c r="A26" s="2">
        <v>43389</v>
      </c>
      <c r="B26" s="46">
        <v>535</v>
      </c>
      <c r="D26" s="1" t="s">
        <v>146</v>
      </c>
      <c r="E26" s="1" t="s">
        <v>171</v>
      </c>
      <c r="F26" s="3"/>
      <c r="G26" s="3"/>
      <c r="H26" s="3"/>
      <c r="I26" s="3"/>
      <c r="J26" s="3"/>
      <c r="K26" s="3"/>
      <c r="L26" s="3"/>
      <c r="M26" s="3"/>
      <c r="N26" s="3"/>
      <c r="O26" s="3">
        <v>139.16999999999999</v>
      </c>
      <c r="P26" s="3">
        <f t="shared" si="2"/>
        <v>139.16999999999999</v>
      </c>
      <c r="Q26" s="3">
        <v>27.83</v>
      </c>
      <c r="R26" s="3">
        <f t="shared" si="3"/>
        <v>167</v>
      </c>
      <c r="S26" t="s">
        <v>165</v>
      </c>
    </row>
    <row r="27" spans="1:24" ht="45">
      <c r="A27" s="2">
        <v>43431</v>
      </c>
      <c r="B27" s="46">
        <v>536</v>
      </c>
      <c r="D27" s="1" t="s">
        <v>182</v>
      </c>
      <c r="E27" s="1" t="s">
        <v>183</v>
      </c>
      <c r="F27" s="3"/>
      <c r="G27" s="3"/>
      <c r="H27" s="3"/>
      <c r="I27" s="3"/>
      <c r="J27" s="3"/>
      <c r="K27" s="3">
        <v>350</v>
      </c>
      <c r="L27" s="3"/>
      <c r="M27" s="3"/>
      <c r="N27" s="3"/>
      <c r="O27" s="3">
        <v>380</v>
      </c>
      <c r="P27" s="3">
        <f t="shared" ref="P27:P36" si="4">SUM(F27:O27)</f>
        <v>730</v>
      </c>
      <c r="Q27" s="3"/>
      <c r="R27" s="3">
        <f t="shared" ref="R27:R36" si="5">P27+Q27</f>
        <v>730</v>
      </c>
    </row>
    <row r="28" spans="1:24" ht="30">
      <c r="A28" s="2">
        <v>43431</v>
      </c>
      <c r="B28" s="46">
        <v>537</v>
      </c>
      <c r="D28" s="1" t="s">
        <v>83</v>
      </c>
      <c r="E28" s="1" t="s">
        <v>184</v>
      </c>
      <c r="F28" s="3"/>
      <c r="G28" s="3"/>
      <c r="H28" s="3"/>
      <c r="I28" s="3"/>
      <c r="J28" s="3"/>
      <c r="K28" s="3">
        <v>25</v>
      </c>
      <c r="L28" s="3"/>
      <c r="M28" s="3"/>
      <c r="N28" s="3"/>
      <c r="O28" s="3"/>
      <c r="P28" s="3">
        <f t="shared" si="4"/>
        <v>25</v>
      </c>
      <c r="Q28" s="3"/>
      <c r="R28" s="3">
        <f t="shared" si="5"/>
        <v>25</v>
      </c>
    </row>
    <row r="29" spans="1:24">
      <c r="A29" s="2">
        <v>43431</v>
      </c>
      <c r="B29" s="46">
        <v>538</v>
      </c>
      <c r="D29" s="1" t="s">
        <v>83</v>
      </c>
      <c r="E29" s="1" t="s">
        <v>84</v>
      </c>
      <c r="F29" s="3">
        <v>122.8</v>
      </c>
      <c r="G29" s="3"/>
      <c r="H29" s="3"/>
      <c r="I29" s="3"/>
      <c r="J29" s="3"/>
      <c r="K29" s="3"/>
      <c r="L29" s="3"/>
      <c r="M29" s="3"/>
      <c r="N29" s="3"/>
      <c r="O29" s="3"/>
      <c r="P29" s="3">
        <f t="shared" si="4"/>
        <v>122.8</v>
      </c>
      <c r="Q29" s="3"/>
      <c r="R29" s="3">
        <f t="shared" si="5"/>
        <v>122.8</v>
      </c>
    </row>
    <row r="30" spans="1:24">
      <c r="A30" s="2">
        <v>43431</v>
      </c>
      <c r="B30" s="46">
        <v>539</v>
      </c>
      <c r="D30" s="1" t="s">
        <v>95</v>
      </c>
      <c r="E30" s="1" t="s">
        <v>96</v>
      </c>
      <c r="F30" s="3"/>
      <c r="G30" s="3"/>
      <c r="H30" s="3"/>
      <c r="I30" s="3"/>
      <c r="J30" s="3"/>
      <c r="K30" s="3"/>
      <c r="L30" s="3"/>
      <c r="M30" s="3"/>
      <c r="N30" s="3">
        <v>46.6</v>
      </c>
      <c r="O30" s="3"/>
      <c r="P30" s="3">
        <f t="shared" si="4"/>
        <v>46.6</v>
      </c>
      <c r="Q30" s="3"/>
      <c r="R30" s="3">
        <f t="shared" si="5"/>
        <v>46.6</v>
      </c>
    </row>
    <row r="31" spans="1:24">
      <c r="A31" s="2">
        <v>43494</v>
      </c>
      <c r="B31" s="46">
        <v>540</v>
      </c>
      <c r="D31" s="1" t="s">
        <v>83</v>
      </c>
      <c r="E31" s="1" t="s">
        <v>84</v>
      </c>
      <c r="F31" s="3">
        <v>122.8</v>
      </c>
      <c r="G31" s="3"/>
      <c r="H31" s="3"/>
      <c r="I31" s="3"/>
      <c r="J31" s="3"/>
      <c r="K31" s="3"/>
      <c r="L31" s="3"/>
      <c r="M31" s="3"/>
      <c r="N31" s="3"/>
      <c r="O31" s="3"/>
      <c r="P31" s="3">
        <f t="shared" si="4"/>
        <v>122.8</v>
      </c>
      <c r="Q31" s="3"/>
      <c r="R31" s="3">
        <f t="shared" si="5"/>
        <v>122.8</v>
      </c>
    </row>
    <row r="32" spans="1:24">
      <c r="A32" s="2">
        <v>43494</v>
      </c>
      <c r="B32" s="46">
        <v>541</v>
      </c>
      <c r="D32" s="1" t="s">
        <v>95</v>
      </c>
      <c r="E32" s="1" t="s">
        <v>96</v>
      </c>
      <c r="F32" s="3"/>
      <c r="G32" s="3"/>
      <c r="H32" s="3"/>
      <c r="I32" s="3"/>
      <c r="J32" s="3"/>
      <c r="K32" s="3"/>
      <c r="L32" s="3"/>
      <c r="M32" s="3"/>
      <c r="N32" s="3">
        <v>46.6</v>
      </c>
      <c r="O32" s="3"/>
      <c r="P32" s="3">
        <f t="shared" si="4"/>
        <v>46.6</v>
      </c>
      <c r="Q32" s="3"/>
      <c r="R32" s="3">
        <f t="shared" si="5"/>
        <v>46.6</v>
      </c>
    </row>
    <row r="33" spans="1:20">
      <c r="A33" s="2">
        <v>43494</v>
      </c>
      <c r="B33" s="46">
        <v>542</v>
      </c>
      <c r="D33" s="1" t="s">
        <v>157</v>
      </c>
      <c r="E33" s="1" t="s">
        <v>158</v>
      </c>
      <c r="F33" s="3">
        <v>91.8</v>
      </c>
      <c r="G33" s="3"/>
      <c r="H33" s="3"/>
      <c r="I33" s="3"/>
      <c r="J33" s="3"/>
      <c r="K33" s="3"/>
      <c r="L33" s="3"/>
      <c r="M33" s="3"/>
      <c r="N33" s="3">
        <f>3.4+3.4+5.8</f>
        <v>12.6</v>
      </c>
      <c r="O33" s="3"/>
      <c r="P33" s="3">
        <f t="shared" si="4"/>
        <v>104.39999999999999</v>
      </c>
      <c r="Q33" s="3"/>
      <c r="R33" s="3">
        <f t="shared" si="5"/>
        <v>104.39999999999999</v>
      </c>
    </row>
    <row r="34" spans="1:20">
      <c r="A34" s="2">
        <v>43494</v>
      </c>
      <c r="B34" s="46">
        <v>543</v>
      </c>
      <c r="D34" s="1" t="s">
        <v>83</v>
      </c>
      <c r="E34" s="1" t="s">
        <v>84</v>
      </c>
      <c r="F34" s="3">
        <v>122.8</v>
      </c>
      <c r="G34" s="3"/>
      <c r="H34" s="3"/>
      <c r="I34" s="3"/>
      <c r="J34" s="3"/>
      <c r="K34" s="3"/>
      <c r="L34" s="3"/>
      <c r="M34" s="3"/>
      <c r="N34" s="3"/>
      <c r="O34" s="3"/>
      <c r="P34" s="3">
        <f t="shared" si="4"/>
        <v>122.8</v>
      </c>
      <c r="Q34" s="3"/>
      <c r="R34" s="3">
        <f t="shared" si="5"/>
        <v>122.8</v>
      </c>
    </row>
    <row r="35" spans="1:20">
      <c r="A35" s="2">
        <v>43494</v>
      </c>
      <c r="B35" s="46">
        <v>544</v>
      </c>
      <c r="D35" s="1" t="s">
        <v>95</v>
      </c>
      <c r="E35" s="1" t="s">
        <v>96</v>
      </c>
      <c r="F35" s="3"/>
      <c r="G35" s="3"/>
      <c r="H35" s="3"/>
      <c r="I35" s="3"/>
      <c r="J35" s="3"/>
      <c r="K35" s="3"/>
      <c r="L35" s="3"/>
      <c r="M35" s="3"/>
      <c r="N35" s="3">
        <v>56.7</v>
      </c>
      <c r="O35" s="3"/>
      <c r="P35" s="3">
        <f t="shared" si="4"/>
        <v>56.7</v>
      </c>
      <c r="Q35" s="3"/>
      <c r="R35" s="3">
        <f t="shared" si="5"/>
        <v>56.7</v>
      </c>
    </row>
    <row r="36" spans="1:20">
      <c r="A36" s="2">
        <v>43494</v>
      </c>
      <c r="B36" s="46">
        <v>545</v>
      </c>
      <c r="D36" s="1" t="s">
        <v>83</v>
      </c>
      <c r="E36" s="1" t="s">
        <v>166</v>
      </c>
      <c r="F36" s="3"/>
      <c r="G36" s="3"/>
      <c r="H36" s="3"/>
      <c r="I36" s="3"/>
      <c r="J36" s="3"/>
      <c r="K36" s="3"/>
      <c r="L36" s="3"/>
      <c r="M36" s="3"/>
      <c r="N36" s="3">
        <v>20.48</v>
      </c>
      <c r="O36" s="3"/>
      <c r="P36" s="3">
        <f t="shared" si="4"/>
        <v>20.48</v>
      </c>
      <c r="Q36" s="3"/>
      <c r="R36" s="3">
        <f t="shared" si="5"/>
        <v>20.48</v>
      </c>
    </row>
    <row r="37" spans="1:20">
      <c r="A37" s="2">
        <v>43523</v>
      </c>
      <c r="B37" s="46">
        <v>546</v>
      </c>
      <c r="D37" s="1" t="s">
        <v>83</v>
      </c>
      <c r="E37" s="1" t="s">
        <v>84</v>
      </c>
      <c r="F37" s="3">
        <v>127.5</v>
      </c>
      <c r="G37" s="3"/>
      <c r="H37" s="3"/>
      <c r="I37" s="3"/>
      <c r="J37" s="3"/>
      <c r="K37" s="3"/>
      <c r="L37" s="3"/>
      <c r="M37" s="3"/>
      <c r="N37" s="3"/>
      <c r="O37" s="3"/>
      <c r="P37" s="3">
        <f t="shared" ref="P37:P39" si="6">SUM(F37:O37)</f>
        <v>127.5</v>
      </c>
      <c r="Q37" s="3"/>
      <c r="R37" s="3">
        <f t="shared" ref="R37:R39" si="7">P37+Q37</f>
        <v>127.5</v>
      </c>
    </row>
    <row r="38" spans="1:20">
      <c r="A38" s="2">
        <v>43523</v>
      </c>
      <c r="B38" s="46">
        <v>547</v>
      </c>
      <c r="D38" s="1" t="s">
        <v>95</v>
      </c>
      <c r="E38" s="1" t="s">
        <v>96</v>
      </c>
      <c r="F38" s="3"/>
      <c r="G38" s="3"/>
      <c r="H38" s="3"/>
      <c r="I38" s="3"/>
      <c r="J38" s="3"/>
      <c r="K38" s="3"/>
      <c r="L38" s="3"/>
      <c r="M38" s="3"/>
      <c r="N38" s="3">
        <v>50.3</v>
      </c>
      <c r="O38" s="3"/>
      <c r="P38" s="3">
        <f t="shared" si="6"/>
        <v>50.3</v>
      </c>
      <c r="Q38" s="3"/>
      <c r="R38" s="3">
        <f t="shared" si="7"/>
        <v>50.3</v>
      </c>
    </row>
    <row r="39" spans="1:20" ht="30">
      <c r="A39" s="2">
        <v>43523</v>
      </c>
      <c r="B39" s="46">
        <v>548</v>
      </c>
      <c r="D39" s="1" t="s">
        <v>36</v>
      </c>
      <c r="E39" s="1" t="s">
        <v>185</v>
      </c>
      <c r="F39" s="3"/>
      <c r="G39" s="3"/>
      <c r="H39" s="3"/>
      <c r="I39" s="3"/>
      <c r="J39" s="3"/>
      <c r="K39" s="3"/>
      <c r="L39" s="3">
        <v>40</v>
      </c>
      <c r="M39" s="3"/>
      <c r="N39" s="3"/>
      <c r="O39" s="3"/>
      <c r="P39" s="3">
        <f t="shared" si="6"/>
        <v>40</v>
      </c>
      <c r="Q39" s="3"/>
      <c r="R39" s="3">
        <f t="shared" si="7"/>
        <v>40</v>
      </c>
    </row>
    <row r="40" spans="1:20" ht="30">
      <c r="A40" s="2">
        <v>43550</v>
      </c>
      <c r="B40" s="46">
        <v>549</v>
      </c>
      <c r="D40" s="1" t="s">
        <v>186</v>
      </c>
      <c r="E40" s="1" t="s">
        <v>187</v>
      </c>
      <c r="N40" s="3"/>
      <c r="O40" s="3">
        <v>250</v>
      </c>
      <c r="P40" s="3">
        <f t="shared" ref="P40" si="8">SUM(F40:O40)</f>
        <v>250</v>
      </c>
      <c r="Q40" s="3"/>
      <c r="R40" s="3">
        <f t="shared" ref="R40" si="9">P40+Q40</f>
        <v>250</v>
      </c>
    </row>
    <row r="41" spans="1:20" ht="45">
      <c r="A41" s="2">
        <v>43550</v>
      </c>
      <c r="B41" s="46">
        <v>550</v>
      </c>
      <c r="D41" s="1" t="s">
        <v>186</v>
      </c>
      <c r="E41" s="1" t="s">
        <v>188</v>
      </c>
      <c r="N41" s="3"/>
      <c r="O41" s="3">
        <v>284.69</v>
      </c>
      <c r="P41" s="3">
        <f t="shared" ref="P41:P44" si="10">SUM(F41:O41)</f>
        <v>284.69</v>
      </c>
      <c r="Q41" s="3"/>
      <c r="R41" s="3">
        <f t="shared" ref="R41:R44" si="11">P41+Q41</f>
        <v>284.69</v>
      </c>
    </row>
    <row r="42" spans="1:20">
      <c r="A42" s="2">
        <v>43550</v>
      </c>
      <c r="B42" s="46">
        <v>551</v>
      </c>
      <c r="D42" s="1" t="s">
        <v>83</v>
      </c>
      <c r="E42" s="1" t="s">
        <v>84</v>
      </c>
      <c r="F42">
        <v>125.15</v>
      </c>
      <c r="N42" s="3"/>
      <c r="O42" s="3"/>
      <c r="P42" s="3">
        <f t="shared" si="10"/>
        <v>125.15</v>
      </c>
      <c r="Q42" s="3"/>
      <c r="R42" s="3">
        <f t="shared" si="11"/>
        <v>125.15</v>
      </c>
    </row>
    <row r="43" spans="1:20">
      <c r="A43" s="2">
        <v>43550</v>
      </c>
      <c r="B43" s="46">
        <v>552</v>
      </c>
      <c r="D43" s="1" t="s">
        <v>95</v>
      </c>
      <c r="E43" s="1" t="s">
        <v>96</v>
      </c>
      <c r="N43" s="3">
        <v>48.2</v>
      </c>
      <c r="O43" s="3"/>
      <c r="P43" s="3">
        <f t="shared" si="10"/>
        <v>48.2</v>
      </c>
      <c r="Q43" s="3"/>
      <c r="R43" s="3">
        <f t="shared" si="11"/>
        <v>48.2</v>
      </c>
    </row>
    <row r="44" spans="1:20">
      <c r="A44" s="2">
        <v>43550</v>
      </c>
      <c r="B44" s="46">
        <v>553</v>
      </c>
      <c r="D44" s="1" t="s">
        <v>157</v>
      </c>
      <c r="E44" s="1" t="s">
        <v>158</v>
      </c>
      <c r="F44">
        <f>107.4-N44</f>
        <v>93.600000000000009</v>
      </c>
      <c r="N44" s="3">
        <f>5.8+4.2+3.8</f>
        <v>13.8</v>
      </c>
      <c r="O44" s="3"/>
      <c r="P44" s="3">
        <f t="shared" si="10"/>
        <v>107.4</v>
      </c>
      <c r="Q44" s="3"/>
      <c r="R44" s="3">
        <f t="shared" si="11"/>
        <v>107.4</v>
      </c>
    </row>
    <row r="45" spans="1:20" s="4" customFormat="1">
      <c r="A45" s="4" t="s">
        <v>8</v>
      </c>
      <c r="D45" s="5"/>
      <c r="E45" s="5"/>
      <c r="F45" s="6">
        <f>SUM(F2:F44)</f>
        <v>1849.6499999999996</v>
      </c>
      <c r="G45" s="6">
        <f t="shared" ref="G45:R45" si="12">SUM(G2:G44)</f>
        <v>0</v>
      </c>
      <c r="H45" s="6">
        <f t="shared" si="12"/>
        <v>62.71</v>
      </c>
      <c r="I45" s="6">
        <f t="shared" si="12"/>
        <v>98</v>
      </c>
      <c r="J45" s="6">
        <f t="shared" si="12"/>
        <v>303.38</v>
      </c>
      <c r="K45" s="6">
        <f t="shared" si="12"/>
        <v>375</v>
      </c>
      <c r="L45" s="6">
        <f t="shared" si="12"/>
        <v>40</v>
      </c>
      <c r="M45" s="6">
        <f t="shared" si="12"/>
        <v>0</v>
      </c>
      <c r="N45" s="6">
        <f t="shared" si="12"/>
        <v>697.46000000000015</v>
      </c>
      <c r="O45" s="6">
        <f t="shared" si="12"/>
        <v>1637.19</v>
      </c>
      <c r="P45" s="6">
        <f t="shared" si="12"/>
        <v>5063.3899999999994</v>
      </c>
      <c r="Q45" s="6">
        <f t="shared" si="12"/>
        <v>164.10000000000002</v>
      </c>
      <c r="R45" s="6">
        <f t="shared" si="12"/>
        <v>5227.4899999999989</v>
      </c>
      <c r="T45" s="6"/>
    </row>
    <row r="48" spans="1:20">
      <c r="P48" s="3">
        <f>P44+P12+P22+P33</f>
        <v>420.4</v>
      </c>
    </row>
    <row r="56" spans="14:14">
      <c r="N56" s="3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F4" sqref="F4:M11"/>
    </sheetView>
  </sheetViews>
  <sheetFormatPr defaultRowHeight="15"/>
  <cols>
    <col min="1" max="1" width="25.42578125" customWidth="1"/>
    <col min="2" max="2" width="14" customWidth="1"/>
    <col min="3" max="3" width="10.7109375" customWidth="1"/>
    <col min="6" max="6" width="12.7109375" customWidth="1"/>
    <col min="7" max="7" width="11" customWidth="1"/>
    <col min="8" max="8" width="10.140625" customWidth="1"/>
    <col min="9" max="9" width="18.7109375" customWidth="1"/>
    <col min="10" max="10" width="36" customWidth="1"/>
  </cols>
  <sheetData>
    <row r="1" spans="1:13">
      <c r="A1" s="4" t="s">
        <v>116</v>
      </c>
    </row>
    <row r="3" spans="1:13">
      <c r="A3" s="8" t="s">
        <v>141</v>
      </c>
      <c r="B3" s="3"/>
    </row>
    <row r="4" spans="1:13">
      <c r="A4" t="s">
        <v>12</v>
      </c>
      <c r="B4" s="3">
        <v>0.57999999999999996</v>
      </c>
      <c r="F4" s="4" t="s">
        <v>197</v>
      </c>
    </row>
    <row r="5" spans="1:13" ht="30">
      <c r="A5" t="s">
        <v>20</v>
      </c>
      <c r="B5" s="3">
        <v>5878.4</v>
      </c>
      <c r="F5" s="5" t="s">
        <v>0</v>
      </c>
      <c r="G5" s="5" t="s">
        <v>10</v>
      </c>
      <c r="H5" s="5" t="s">
        <v>9</v>
      </c>
      <c r="I5" s="5" t="s">
        <v>11</v>
      </c>
      <c r="J5" s="5" t="s">
        <v>2</v>
      </c>
      <c r="K5" s="5" t="s">
        <v>17</v>
      </c>
      <c r="L5" s="5" t="s">
        <v>18</v>
      </c>
      <c r="M5" s="5" t="s">
        <v>3</v>
      </c>
    </row>
    <row r="6" spans="1:13" ht="17.25" customHeight="1">
      <c r="A6" s="9" t="s">
        <v>13</v>
      </c>
      <c r="B6" s="11">
        <f>SUM(B4:B5)</f>
        <v>5878.98</v>
      </c>
      <c r="F6" s="2">
        <v>43550</v>
      </c>
      <c r="G6" s="46">
        <v>549</v>
      </c>
      <c r="I6" s="1" t="s">
        <v>186</v>
      </c>
      <c r="J6" s="1" t="s">
        <v>187</v>
      </c>
      <c r="K6" s="3">
        <v>250</v>
      </c>
      <c r="L6" s="3"/>
      <c r="M6" s="3">
        <f t="shared" ref="M6:M10" si="0">K6+L6</f>
        <v>250</v>
      </c>
    </row>
    <row r="7" spans="1:13" ht="17.25" customHeight="1">
      <c r="A7" t="s">
        <v>34</v>
      </c>
      <c r="B7" s="7">
        <v>-489.3</v>
      </c>
      <c r="F7" s="2">
        <v>43550</v>
      </c>
      <c r="G7" s="46">
        <v>550</v>
      </c>
      <c r="I7" s="1" t="s">
        <v>186</v>
      </c>
      <c r="J7" s="1" t="s">
        <v>188</v>
      </c>
      <c r="K7" s="3">
        <v>284.69</v>
      </c>
      <c r="L7" s="3"/>
      <c r="M7" s="3">
        <f t="shared" si="0"/>
        <v>284.69</v>
      </c>
    </row>
    <row r="8" spans="1:13" ht="18" customHeight="1">
      <c r="A8" s="26" t="s">
        <v>13</v>
      </c>
      <c r="B8" s="10">
        <f>SUM(B6:B7)</f>
        <v>5389.6799999999994</v>
      </c>
      <c r="F8" s="2">
        <v>43550</v>
      </c>
      <c r="G8" s="46">
        <v>551</v>
      </c>
      <c r="I8" s="1" t="s">
        <v>83</v>
      </c>
      <c r="J8" s="1" t="s">
        <v>84</v>
      </c>
      <c r="K8" s="3">
        <v>125.15</v>
      </c>
      <c r="L8" s="3"/>
      <c r="M8" s="3">
        <f t="shared" si="0"/>
        <v>125.15</v>
      </c>
    </row>
    <row r="9" spans="1:13" ht="17.25">
      <c r="A9" s="26"/>
      <c r="B9" s="11"/>
      <c r="F9" s="2">
        <v>43550</v>
      </c>
      <c r="G9" s="46">
        <v>552</v>
      </c>
      <c r="I9" s="1" t="s">
        <v>95</v>
      </c>
      <c r="J9" s="1" t="s">
        <v>96</v>
      </c>
      <c r="K9" s="3">
        <v>48.2</v>
      </c>
      <c r="L9" s="3"/>
      <c r="M9" s="3">
        <f t="shared" si="0"/>
        <v>48.2</v>
      </c>
    </row>
    <row r="10" spans="1:13">
      <c r="A10" t="s">
        <v>64</v>
      </c>
      <c r="B10" s="13">
        <f>Income!I8</f>
        <v>27474.7</v>
      </c>
      <c r="F10" s="2">
        <v>43550</v>
      </c>
      <c r="G10" s="46">
        <v>553</v>
      </c>
      <c r="I10" s="1" t="s">
        <v>157</v>
      </c>
      <c r="J10" s="1" t="s">
        <v>158</v>
      </c>
      <c r="K10" s="3">
        <v>107.4</v>
      </c>
      <c r="L10" s="3"/>
      <c r="M10" s="3">
        <f t="shared" si="0"/>
        <v>107.4</v>
      </c>
    </row>
    <row r="11" spans="1:13" ht="17.25">
      <c r="A11" t="s">
        <v>65</v>
      </c>
      <c r="B11" s="7">
        <f>-Expenditure!R45</f>
        <v>-5227.4899999999989</v>
      </c>
      <c r="J11" s="1" t="s">
        <v>196</v>
      </c>
      <c r="K11" s="6">
        <f>SUM(K6:K10)</f>
        <v>815.44</v>
      </c>
      <c r="M11" s="6">
        <f>SUM(M6:M10)</f>
        <v>815.44</v>
      </c>
    </row>
    <row r="12" spans="1:13">
      <c r="A12" s="9" t="s">
        <v>13</v>
      </c>
      <c r="B12" s="36">
        <f>B8+B10+B11</f>
        <v>27636.89</v>
      </c>
    </row>
    <row r="13" spans="1:13" ht="17.25">
      <c r="B13" s="11"/>
    </row>
    <row r="14" spans="1:13">
      <c r="A14" s="4" t="s">
        <v>191</v>
      </c>
      <c r="B14" s="3"/>
    </row>
    <row r="15" spans="1:13">
      <c r="A15" s="4" t="s">
        <v>21</v>
      </c>
      <c r="B15" s="3"/>
    </row>
    <row r="16" spans="1:13">
      <c r="A16" s="8"/>
      <c r="B16" s="3"/>
    </row>
    <row r="17" spans="1:5">
      <c r="A17" t="s">
        <v>12</v>
      </c>
      <c r="B17" s="3">
        <v>0.57999999999999996</v>
      </c>
    </row>
    <row r="18" spans="1:5">
      <c r="A18" t="s">
        <v>20</v>
      </c>
      <c r="B18" s="34">
        <v>28451.75</v>
      </c>
      <c r="D18" s="3"/>
    </row>
    <row r="19" spans="1:5" ht="17.25">
      <c r="A19" s="9" t="s">
        <v>13</v>
      </c>
      <c r="B19" s="37">
        <f>SUM(B17:B18)</f>
        <v>28452.33</v>
      </c>
      <c r="C19" s="3"/>
      <c r="D19" s="3"/>
    </row>
    <row r="20" spans="1:5" ht="17.25">
      <c r="A20" t="s">
        <v>34</v>
      </c>
      <c r="B20" s="7">
        <f>-(Expenditure!R40+Expenditure!R41+Expenditure!R42+Expenditure!R43+Expenditure!R44)</f>
        <v>-815.44</v>
      </c>
      <c r="C20" s="3"/>
      <c r="D20" s="3"/>
    </row>
    <row r="21" spans="1:5">
      <c r="A21" s="9" t="s">
        <v>13</v>
      </c>
      <c r="B21" s="10">
        <f>SUM(B19:B20)</f>
        <v>27636.890000000003</v>
      </c>
      <c r="D21" s="3"/>
      <c r="E21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opLeftCell="A4" workbookViewId="0">
      <selection activeCell="D22" sqref="D22"/>
    </sheetView>
  </sheetViews>
  <sheetFormatPr defaultRowHeight="15"/>
  <cols>
    <col min="1" max="1" width="27.28515625" customWidth="1"/>
    <col min="2" max="2" width="14.28515625" customWidth="1"/>
    <col min="3" max="3" width="11.42578125" customWidth="1"/>
    <col min="4" max="5" width="13.85546875" customWidth="1"/>
    <col min="6" max="6" width="15" customWidth="1"/>
    <col min="10" max="10" width="10.5703125" bestFit="1" customWidth="1"/>
    <col min="11" max="11" width="12.28515625" customWidth="1"/>
  </cols>
  <sheetData>
    <row r="1" spans="1:17">
      <c r="A1" s="4" t="s">
        <v>133</v>
      </c>
    </row>
    <row r="2" spans="1:17">
      <c r="A2" s="4" t="s">
        <v>142</v>
      </c>
      <c r="B2" s="22" t="s">
        <v>57</v>
      </c>
      <c r="D2" s="4" t="s">
        <v>25</v>
      </c>
      <c r="E2" s="4"/>
      <c r="H2" s="4"/>
      <c r="J2" s="4"/>
      <c r="K2" s="22"/>
      <c r="M2" s="4"/>
      <c r="N2" s="4"/>
    </row>
    <row r="3" spans="1:17">
      <c r="A3" s="4" t="s">
        <v>22</v>
      </c>
      <c r="B3" s="22" t="s">
        <v>58</v>
      </c>
      <c r="C3" s="4" t="s">
        <v>23</v>
      </c>
      <c r="D3" s="4" t="s">
        <v>24</v>
      </c>
      <c r="E3" s="4" t="s">
        <v>113</v>
      </c>
      <c r="F3" s="4" t="s">
        <v>59</v>
      </c>
      <c r="G3" s="4" t="s">
        <v>61</v>
      </c>
      <c r="H3" s="4"/>
      <c r="I3" s="4"/>
      <c r="J3" s="4"/>
      <c r="K3" s="22"/>
      <c r="L3" s="4"/>
      <c r="M3" s="4"/>
      <c r="N3" s="4"/>
      <c r="O3" s="4"/>
      <c r="P3" s="4"/>
      <c r="Q3" s="4"/>
    </row>
    <row r="4" spans="1:17">
      <c r="A4" s="12" t="s">
        <v>27</v>
      </c>
      <c r="B4" s="13">
        <v>1841</v>
      </c>
      <c r="D4" s="3">
        <f>Expenditure!F45</f>
        <v>1849.6499999999996</v>
      </c>
      <c r="E4" s="3"/>
      <c r="F4" s="23">
        <f>D4/B4</f>
        <v>1.0046985334057574</v>
      </c>
      <c r="I4" s="3"/>
      <c r="J4" s="12"/>
      <c r="K4" s="20"/>
      <c r="L4" s="3"/>
      <c r="M4" s="3"/>
      <c r="N4" s="3"/>
      <c r="O4" s="23"/>
      <c r="P4" s="18"/>
    </row>
    <row r="5" spans="1:17">
      <c r="A5" s="12" t="s">
        <v>28</v>
      </c>
      <c r="B5" s="13">
        <v>65</v>
      </c>
      <c r="D5" s="3">
        <f>Expenditure!H45</f>
        <v>62.71</v>
      </c>
      <c r="E5" s="3"/>
      <c r="F5" s="23">
        <f>D5/B5</f>
        <v>0.96476923076923082</v>
      </c>
      <c r="J5" s="12"/>
      <c r="K5" s="20"/>
      <c r="L5" s="3"/>
      <c r="M5" s="3"/>
      <c r="N5" s="3"/>
      <c r="O5" s="23"/>
      <c r="P5" s="18"/>
    </row>
    <row r="6" spans="1:17">
      <c r="A6" s="12" t="s">
        <v>29</v>
      </c>
      <c r="B6" s="13">
        <v>140</v>
      </c>
      <c r="D6" s="3">
        <f>Expenditure!I45</f>
        <v>98</v>
      </c>
      <c r="E6" s="3"/>
      <c r="F6" s="23">
        <f>D6/B6</f>
        <v>0.7</v>
      </c>
      <c r="J6" s="12"/>
      <c r="K6" s="20"/>
      <c r="L6" s="3"/>
      <c r="M6" s="3"/>
      <c r="N6" s="3"/>
      <c r="O6" s="23"/>
      <c r="P6" s="18"/>
    </row>
    <row r="7" spans="1:17">
      <c r="A7" s="12" t="s">
        <v>30</v>
      </c>
      <c r="B7" s="20">
        <v>400</v>
      </c>
      <c r="D7" s="3">
        <f>Expenditure!J45</f>
        <v>303.38</v>
      </c>
      <c r="E7" s="3"/>
      <c r="F7" s="23">
        <f>D7/B7</f>
        <v>0.75844999999999996</v>
      </c>
      <c r="J7" s="12"/>
      <c r="K7" s="20"/>
      <c r="L7" s="3"/>
      <c r="M7" s="3"/>
      <c r="N7" s="3"/>
      <c r="O7" s="23"/>
      <c r="P7" s="18"/>
    </row>
    <row r="8" spans="1:17">
      <c r="A8" s="12" t="s">
        <v>31</v>
      </c>
      <c r="B8" s="20">
        <v>375</v>
      </c>
      <c r="C8" s="3">
        <v>350</v>
      </c>
      <c r="D8" s="3">
        <f>Expenditure!K27</f>
        <v>350</v>
      </c>
      <c r="E8" s="3">
        <f>Income!F8</f>
        <v>330.94</v>
      </c>
      <c r="F8" s="23">
        <f>E8/C8</f>
        <v>0.94554285714285713</v>
      </c>
      <c r="J8" s="12"/>
      <c r="K8" s="20"/>
      <c r="L8" s="3"/>
      <c r="M8" s="3"/>
      <c r="N8" s="3"/>
      <c r="O8" s="23"/>
      <c r="P8" s="18"/>
    </row>
    <row r="9" spans="1:17">
      <c r="A9" s="1" t="s">
        <v>36</v>
      </c>
      <c r="B9" s="20">
        <v>35</v>
      </c>
      <c r="D9" s="3">
        <f>Expenditure!L45</f>
        <v>40</v>
      </c>
      <c r="E9" s="3"/>
      <c r="F9" s="23">
        <f>D9/B9</f>
        <v>1.1428571428571428</v>
      </c>
      <c r="J9" s="1"/>
      <c r="K9" s="20"/>
      <c r="L9" s="3"/>
      <c r="M9" s="3"/>
      <c r="N9" s="3"/>
      <c r="O9" s="23"/>
      <c r="P9" s="18"/>
    </row>
    <row r="10" spans="1:17">
      <c r="A10" s="1" t="s">
        <v>60</v>
      </c>
      <c r="B10" s="20">
        <v>400</v>
      </c>
      <c r="D10" s="3">
        <f>Expenditure!O27</f>
        <v>380</v>
      </c>
      <c r="E10" s="3"/>
      <c r="F10" s="23">
        <f>D10/B10</f>
        <v>0.95</v>
      </c>
      <c r="J10" s="12"/>
      <c r="K10" s="20"/>
      <c r="L10" s="3"/>
      <c r="M10" s="3"/>
      <c r="N10" s="3"/>
      <c r="O10" s="23"/>
      <c r="P10" s="18"/>
    </row>
    <row r="11" spans="1:17">
      <c r="A11" s="1" t="s">
        <v>62</v>
      </c>
      <c r="B11" s="20">
        <v>300</v>
      </c>
      <c r="D11" s="3">
        <f>Expenditure!O40</f>
        <v>250</v>
      </c>
      <c r="E11" s="3"/>
      <c r="F11" s="23"/>
      <c r="J11" s="1"/>
      <c r="K11" s="21"/>
      <c r="L11" s="3"/>
      <c r="M11" s="3"/>
      <c r="N11" s="3"/>
      <c r="O11" s="23"/>
      <c r="P11" s="18"/>
    </row>
    <row r="12" spans="1:17">
      <c r="A12" s="1" t="s">
        <v>87</v>
      </c>
      <c r="B12" s="20">
        <v>90</v>
      </c>
      <c r="D12" s="3"/>
      <c r="E12" s="3"/>
      <c r="F12" s="23"/>
      <c r="G12" t="s">
        <v>94</v>
      </c>
      <c r="J12" s="1"/>
      <c r="K12" s="21"/>
      <c r="L12" s="13"/>
      <c r="M12" s="13"/>
      <c r="N12" s="3"/>
      <c r="O12" s="23"/>
      <c r="P12" s="18"/>
    </row>
    <row r="13" spans="1:17">
      <c r="A13" s="12" t="s">
        <v>32</v>
      </c>
      <c r="B13" s="20">
        <v>200</v>
      </c>
      <c r="C13" s="3"/>
      <c r="D13" s="3">
        <f>Expenditure!O45-Expenditure!P26-Expenditure!P16-Expenditure!O27-Expenditure!O40-Expenditure!O41</f>
        <v>483.33</v>
      </c>
      <c r="E13" s="3">
        <v>250</v>
      </c>
      <c r="F13" s="23">
        <f>(D13-E13)/B13</f>
        <v>1.16665</v>
      </c>
      <c r="J13" s="1"/>
      <c r="K13" s="21"/>
      <c r="L13" s="13"/>
      <c r="M13" s="13"/>
      <c r="N13" s="3"/>
      <c r="O13" s="23"/>
      <c r="P13" s="18"/>
    </row>
    <row r="14" spans="1:17">
      <c r="A14" s="1" t="s">
        <v>63</v>
      </c>
      <c r="B14" s="20">
        <v>15</v>
      </c>
      <c r="F14" s="23"/>
      <c r="J14" s="1"/>
      <c r="K14" s="21"/>
      <c r="L14" s="13"/>
      <c r="M14" s="13"/>
      <c r="N14" s="3"/>
      <c r="O14" s="23"/>
      <c r="P14" s="18"/>
    </row>
    <row r="15" spans="1:17">
      <c r="A15" s="1" t="s">
        <v>81</v>
      </c>
      <c r="B15" s="20">
        <v>260</v>
      </c>
      <c r="D15" s="3">
        <f>Expenditure!P26+Expenditure!K28</f>
        <v>164.17</v>
      </c>
      <c r="E15" s="3"/>
      <c r="F15" s="23">
        <f>D15/B15</f>
        <v>0.63142307692307686</v>
      </c>
      <c r="J15" s="1"/>
      <c r="K15" s="21"/>
      <c r="L15" s="13"/>
      <c r="M15" s="13"/>
      <c r="N15" s="3"/>
      <c r="O15" s="23"/>
      <c r="P15" s="18"/>
    </row>
    <row r="16" spans="1:17">
      <c r="A16" s="1" t="s">
        <v>90</v>
      </c>
      <c r="B16" s="35"/>
      <c r="D16" s="3"/>
      <c r="E16" s="3"/>
      <c r="F16" s="23"/>
      <c r="G16" t="s">
        <v>94</v>
      </c>
      <c r="J16" s="1"/>
      <c r="K16" s="21"/>
      <c r="L16" s="13"/>
      <c r="M16" s="13"/>
      <c r="N16" s="3"/>
      <c r="O16" s="23"/>
      <c r="P16" s="18"/>
    </row>
    <row r="17" spans="1:16">
      <c r="A17" s="1" t="s">
        <v>91</v>
      </c>
      <c r="B17" s="35"/>
      <c r="D17" s="3"/>
      <c r="E17" s="3"/>
      <c r="F17" s="23"/>
      <c r="G17" t="s">
        <v>94</v>
      </c>
      <c r="J17" s="1"/>
      <c r="K17" s="21"/>
      <c r="L17" s="13"/>
      <c r="M17" s="13"/>
      <c r="N17" s="3"/>
      <c r="O17" s="23"/>
      <c r="P17" s="18"/>
    </row>
    <row r="18" spans="1:16">
      <c r="A18" s="1" t="s">
        <v>96</v>
      </c>
      <c r="B18" s="35">
        <v>800</v>
      </c>
      <c r="C18" s="3">
        <v>800</v>
      </c>
      <c r="D18" s="3">
        <f>Expenditure!N45</f>
        <v>697.46000000000015</v>
      </c>
      <c r="E18" s="3"/>
      <c r="F18" s="23">
        <f>D18/B18</f>
        <v>0.87182500000000018</v>
      </c>
      <c r="G18" t="s">
        <v>94</v>
      </c>
      <c r="J18" s="1"/>
      <c r="K18" s="21"/>
      <c r="L18" s="13"/>
      <c r="M18" s="13"/>
      <c r="N18" s="3"/>
      <c r="O18" s="23"/>
      <c r="P18" s="18"/>
    </row>
    <row r="19" spans="1:16">
      <c r="A19" s="1" t="s">
        <v>131</v>
      </c>
      <c r="B19" s="35"/>
      <c r="C19" s="3"/>
      <c r="D19" s="3"/>
      <c r="E19" s="3"/>
      <c r="F19" s="23"/>
      <c r="J19" s="1"/>
      <c r="K19" s="21"/>
      <c r="L19" s="13"/>
      <c r="M19" s="13"/>
      <c r="N19" s="3"/>
      <c r="O19" s="23"/>
      <c r="P19" s="18"/>
    </row>
    <row r="20" spans="1:16">
      <c r="A20" s="1" t="s">
        <v>99</v>
      </c>
      <c r="B20" s="35"/>
      <c r="C20" s="3"/>
      <c r="D20" s="3"/>
      <c r="E20" s="3"/>
      <c r="F20" s="23"/>
      <c r="G20" t="s">
        <v>94</v>
      </c>
      <c r="I20" t="s">
        <v>134</v>
      </c>
      <c r="J20" s="1"/>
      <c r="K20" s="21"/>
      <c r="L20" s="13"/>
      <c r="M20" s="13"/>
      <c r="N20" s="3"/>
      <c r="O20" s="23"/>
      <c r="P20" s="18"/>
    </row>
    <row r="21" spans="1:16" ht="17.25">
      <c r="A21" s="1" t="s">
        <v>7</v>
      </c>
      <c r="B21" s="21"/>
      <c r="C21" s="3">
        <v>3274</v>
      </c>
      <c r="E21" s="3">
        <f>Income!E8</f>
        <v>3274</v>
      </c>
      <c r="F21" s="23">
        <f>C21/E21</f>
        <v>1</v>
      </c>
      <c r="J21" s="9"/>
      <c r="K21" s="24"/>
      <c r="L21" s="11"/>
      <c r="M21" s="11"/>
      <c r="N21" s="11"/>
      <c r="O21" s="23"/>
    </row>
    <row r="22" spans="1:16" ht="32.25">
      <c r="A22" s="1" t="s">
        <v>136</v>
      </c>
      <c r="B22" s="21"/>
      <c r="C22" s="3"/>
      <c r="D22" s="3">
        <f>Expenditure!O41</f>
        <v>284.69</v>
      </c>
      <c r="F22" s="23"/>
      <c r="G22" t="s">
        <v>94</v>
      </c>
      <c r="J22" s="9"/>
      <c r="K22" s="24"/>
      <c r="L22" s="11"/>
      <c r="M22" s="11"/>
      <c r="N22" s="11"/>
      <c r="O22" s="23"/>
    </row>
    <row r="23" spans="1:16" ht="17.25">
      <c r="A23" s="1" t="s">
        <v>147</v>
      </c>
      <c r="B23" s="21">
        <v>100</v>
      </c>
      <c r="C23" s="3"/>
      <c r="D23" s="3">
        <f>Expenditure!P16</f>
        <v>100</v>
      </c>
      <c r="F23" s="23">
        <f>D23/B23</f>
        <v>1</v>
      </c>
      <c r="J23" s="9"/>
      <c r="K23" s="24"/>
      <c r="L23" s="11"/>
      <c r="M23" s="11"/>
      <c r="N23" s="11"/>
      <c r="O23" s="23"/>
    </row>
    <row r="24" spans="1:16" ht="15.75">
      <c r="A24" s="1" t="s">
        <v>26</v>
      </c>
      <c r="B24" s="21"/>
      <c r="C24" s="13">
        <v>80</v>
      </c>
      <c r="D24" s="13"/>
      <c r="E24" s="13">
        <f>Income!H8</f>
        <v>112.76</v>
      </c>
      <c r="F24" s="23">
        <f>E24/C24</f>
        <v>1.4095</v>
      </c>
      <c r="K24" s="25"/>
      <c r="L24" s="3"/>
      <c r="M24" s="3"/>
      <c r="N24" s="3"/>
      <c r="O24" s="23"/>
    </row>
    <row r="25" spans="1:16" ht="17.25">
      <c r="A25" s="9" t="s">
        <v>37</v>
      </c>
      <c r="B25" s="24">
        <f>SUM(B4:B24)</f>
        <v>5021</v>
      </c>
      <c r="C25" s="24">
        <f>SUM(C4:C24)</f>
        <v>4504</v>
      </c>
      <c r="D25" s="24">
        <f>SUM(D4:D24)</f>
        <v>5063.3899999999994</v>
      </c>
      <c r="E25" s="24">
        <f>SUM(E4:E24)</f>
        <v>3967.7000000000003</v>
      </c>
      <c r="F25" s="23"/>
      <c r="J25" s="1"/>
      <c r="K25" s="1"/>
      <c r="L25" s="7"/>
      <c r="M25" s="7"/>
      <c r="N25" s="7"/>
      <c r="O25" s="23"/>
    </row>
    <row r="26" spans="1:16" ht="15.75">
      <c r="B26" s="25"/>
      <c r="C26" s="3"/>
      <c r="D26" s="3"/>
      <c r="E26" s="3"/>
      <c r="F26" s="23"/>
      <c r="J26" s="9"/>
      <c r="K26" s="9"/>
      <c r="L26" s="10"/>
      <c r="M26" s="10"/>
      <c r="N26" s="10"/>
      <c r="O26" s="23"/>
    </row>
    <row r="27" spans="1:16" ht="17.25">
      <c r="A27" s="1" t="s">
        <v>35</v>
      </c>
      <c r="B27" s="20"/>
      <c r="C27" s="7">
        <v>0</v>
      </c>
      <c r="D27" s="7">
        <f>Expenditure!Q45</f>
        <v>164.10000000000002</v>
      </c>
      <c r="E27" s="7"/>
      <c r="F27" s="23"/>
      <c r="J27" s="3"/>
    </row>
    <row r="28" spans="1:16">
      <c r="A28" s="9" t="s">
        <v>38</v>
      </c>
      <c r="B28" s="9"/>
      <c r="C28" s="10">
        <f>C25+C27</f>
        <v>4504</v>
      </c>
      <c r="D28" s="10">
        <f>Expenditure!R45</f>
        <v>5227.4899999999989</v>
      </c>
      <c r="E28" s="10"/>
      <c r="F28" s="23"/>
      <c r="N28" s="15"/>
      <c r="O28" s="15"/>
    </row>
    <row r="29" spans="1:16">
      <c r="N29" s="15"/>
      <c r="O29" s="15"/>
      <c r="P29" s="15"/>
    </row>
    <row r="33" spans="4:5">
      <c r="D33" s="3"/>
      <c r="E33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sqref="A1:D14"/>
    </sheetView>
  </sheetViews>
  <sheetFormatPr defaultRowHeight="15"/>
  <cols>
    <col min="1" max="1" width="22.28515625" customWidth="1"/>
    <col min="2" max="2" width="19.5703125" customWidth="1"/>
    <col min="4" max="4" width="28.42578125" customWidth="1"/>
  </cols>
  <sheetData>
    <row r="1" spans="1:8">
      <c r="A1" s="4" t="s">
        <v>39</v>
      </c>
      <c r="B1" s="4" t="s">
        <v>41</v>
      </c>
      <c r="C1" s="4" t="s">
        <v>43</v>
      </c>
      <c r="D1" s="4" t="s">
        <v>42</v>
      </c>
    </row>
    <row r="2" spans="1:8">
      <c r="A2" s="1" t="s">
        <v>40</v>
      </c>
      <c r="B2" s="16" t="s">
        <v>44</v>
      </c>
      <c r="C2" s="15">
        <v>1</v>
      </c>
      <c r="D2" t="s">
        <v>51</v>
      </c>
    </row>
    <row r="3" spans="1:8">
      <c r="A3" s="1" t="s">
        <v>45</v>
      </c>
      <c r="B3" s="16" t="s">
        <v>55</v>
      </c>
      <c r="C3" s="15">
        <v>900</v>
      </c>
      <c r="D3" t="s">
        <v>53</v>
      </c>
    </row>
    <row r="4" spans="1:8">
      <c r="A4" s="1" t="s">
        <v>46</v>
      </c>
      <c r="B4" s="17">
        <v>40330</v>
      </c>
      <c r="C4" s="15">
        <v>178</v>
      </c>
      <c r="D4" t="s">
        <v>47</v>
      </c>
    </row>
    <row r="5" spans="1:8">
      <c r="A5" s="1" t="s">
        <v>48</v>
      </c>
      <c r="B5" s="17" t="s">
        <v>49</v>
      </c>
      <c r="C5" s="15">
        <v>1000</v>
      </c>
      <c r="D5" t="s">
        <v>50</v>
      </c>
    </row>
    <row r="6" spans="1:8" ht="30">
      <c r="A6" s="1" t="s">
        <v>52</v>
      </c>
      <c r="B6" s="16">
        <v>1977</v>
      </c>
      <c r="C6" s="15">
        <v>200</v>
      </c>
      <c r="D6" t="s">
        <v>53</v>
      </c>
    </row>
    <row r="7" spans="1:8" ht="30">
      <c r="A7" s="1" t="s">
        <v>54</v>
      </c>
      <c r="B7" s="16" t="s">
        <v>55</v>
      </c>
      <c r="C7" s="28">
        <v>650</v>
      </c>
      <c r="D7" t="s">
        <v>56</v>
      </c>
    </row>
    <row r="8" spans="1:8">
      <c r="A8" s="1" t="s">
        <v>88</v>
      </c>
      <c r="B8" s="17">
        <v>42491</v>
      </c>
      <c r="C8" s="28">
        <v>250</v>
      </c>
      <c r="D8" t="s">
        <v>98</v>
      </c>
      <c r="H8" s="15">
        <f>C8</f>
        <v>250</v>
      </c>
    </row>
    <row r="9" spans="1:8">
      <c r="A9" s="1" t="s">
        <v>92</v>
      </c>
      <c r="B9" s="17">
        <v>42522</v>
      </c>
      <c r="C9" s="28">
        <v>1</v>
      </c>
      <c r="D9" t="s">
        <v>129</v>
      </c>
      <c r="E9" t="s">
        <v>93</v>
      </c>
      <c r="H9" s="15">
        <f>C9</f>
        <v>1</v>
      </c>
    </row>
    <row r="10" spans="1:8">
      <c r="A10" s="1" t="s">
        <v>89</v>
      </c>
      <c r="B10" s="17">
        <v>42491</v>
      </c>
      <c r="C10" s="28">
        <v>58</v>
      </c>
      <c r="D10" t="s">
        <v>98</v>
      </c>
      <c r="H10" s="15">
        <f t="shared" ref="H10:H13" si="0">C10</f>
        <v>58</v>
      </c>
    </row>
    <row r="11" spans="1:8">
      <c r="A11" s="1" t="s">
        <v>100</v>
      </c>
      <c r="B11" s="17">
        <v>42309</v>
      </c>
      <c r="C11" s="28">
        <v>100</v>
      </c>
      <c r="D11" t="s">
        <v>69</v>
      </c>
      <c r="H11" s="15">
        <f t="shared" si="0"/>
        <v>100</v>
      </c>
    </row>
    <row r="12" spans="1:8">
      <c r="A12" s="1" t="s">
        <v>130</v>
      </c>
      <c r="B12" s="17">
        <v>42461</v>
      </c>
      <c r="C12" s="28">
        <v>60</v>
      </c>
      <c r="D12" t="s">
        <v>98</v>
      </c>
      <c r="H12" s="15">
        <f t="shared" si="0"/>
        <v>60</v>
      </c>
    </row>
    <row r="13" spans="1:8">
      <c r="A13" s="1" t="s">
        <v>99</v>
      </c>
      <c r="B13" s="17">
        <v>42795</v>
      </c>
      <c r="C13" s="28">
        <v>1406</v>
      </c>
      <c r="D13" t="s">
        <v>118</v>
      </c>
      <c r="H13" s="15">
        <f t="shared" si="0"/>
        <v>1406</v>
      </c>
    </row>
    <row r="14" spans="1:8" ht="17.25">
      <c r="A14" s="1"/>
      <c r="C14" s="19">
        <f>SUM(C2:C13)</f>
        <v>4804</v>
      </c>
      <c r="H14" s="15">
        <f>SUM(H8:H13)</f>
        <v>1875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D8" sqref="D8"/>
    </sheetView>
  </sheetViews>
  <sheetFormatPr defaultRowHeight="15"/>
  <cols>
    <col min="1" max="1" width="9.140625" style="30"/>
    <col min="2" max="2" width="24.140625" style="29" customWidth="1"/>
    <col min="3" max="3" width="10.42578125" style="32" customWidth="1"/>
    <col min="4" max="4" width="13" style="32" customWidth="1"/>
    <col min="5" max="5" width="11.85546875" style="32" customWidth="1"/>
    <col min="6" max="6" width="46" customWidth="1"/>
    <col min="7" max="7" width="11.5703125" bestFit="1" customWidth="1"/>
    <col min="8" max="8" width="13" customWidth="1"/>
    <col min="9" max="9" width="10.5703125" bestFit="1" customWidth="1"/>
    <col min="10" max="10" width="12.42578125" customWidth="1"/>
  </cols>
  <sheetData>
    <row r="1" spans="1:10">
      <c r="B1" s="29" t="s">
        <v>127</v>
      </c>
    </row>
    <row r="2" spans="1:10" s="4" customFormat="1" ht="31.5" customHeight="1">
      <c r="A2" s="30"/>
      <c r="B2" s="29"/>
      <c r="C2" s="30" t="s">
        <v>128</v>
      </c>
      <c r="D2" s="30" t="s">
        <v>142</v>
      </c>
      <c r="E2" s="29" t="s">
        <v>80</v>
      </c>
      <c r="J2" s="29"/>
    </row>
    <row r="3" spans="1:10" ht="30">
      <c r="A3" s="30">
        <v>1</v>
      </c>
      <c r="B3" s="29" t="s">
        <v>70</v>
      </c>
      <c r="C3" s="43">
        <v>2668</v>
      </c>
      <c r="D3" s="43">
        <f>C9</f>
        <v>5389.6799999999994</v>
      </c>
      <c r="E3" s="33"/>
      <c r="G3" s="3">
        <f>Reconciliation!B8+Income!I8</f>
        <v>32864.379999999997</v>
      </c>
      <c r="H3" s="15">
        <f>2668+3125+4350</f>
        <v>10143</v>
      </c>
      <c r="I3" s="15"/>
    </row>
    <row r="4" spans="1:10">
      <c r="A4" s="30">
        <v>2</v>
      </c>
      <c r="B4" s="29" t="s">
        <v>71</v>
      </c>
      <c r="C4" s="43">
        <v>3125</v>
      </c>
      <c r="D4" s="31">
        <f>Income!E8</f>
        <v>3274</v>
      </c>
      <c r="E4" s="33">
        <f>(D4-C4)/C4</f>
        <v>4.768E-2</v>
      </c>
      <c r="G4" s="3">
        <f>Expenditure!R45</f>
        <v>5227.4899999999989</v>
      </c>
      <c r="H4" s="15">
        <f>2377+2376</f>
        <v>4753</v>
      </c>
      <c r="I4" s="3"/>
    </row>
    <row r="5" spans="1:10">
      <c r="A5" s="30">
        <v>3</v>
      </c>
      <c r="B5" s="29" t="s">
        <v>72</v>
      </c>
      <c r="C5" s="43">
        <v>4350</v>
      </c>
      <c r="D5" s="31">
        <f>Income!I8-'External Audit Form'!D4</f>
        <v>24200.7</v>
      </c>
      <c r="E5" s="33">
        <f t="shared" ref="E5:E9" si="0">(D5-C5)/C5</f>
        <v>4.5633793103448275</v>
      </c>
      <c r="F5" s="1"/>
      <c r="G5" s="3">
        <f>G3-G4</f>
        <v>27636.89</v>
      </c>
      <c r="H5" s="3">
        <f>H3-H4</f>
        <v>5390</v>
      </c>
      <c r="I5" s="3"/>
    </row>
    <row r="6" spans="1:10">
      <c r="A6" s="30">
        <v>4</v>
      </c>
      <c r="B6" s="29" t="s">
        <v>73</v>
      </c>
      <c r="C6" s="44">
        <v>2377</v>
      </c>
      <c r="D6" s="45">
        <f>Expenditure!F45+Expenditure!N45-Expenditure!N36-Expenditure!N21</f>
        <v>2506.1499999999996</v>
      </c>
      <c r="E6" s="33">
        <f t="shared" si="0"/>
        <v>5.4333193100546753E-2</v>
      </c>
      <c r="G6">
        <v>489.3</v>
      </c>
      <c r="H6" s="15">
        <v>489</v>
      </c>
    </row>
    <row r="7" spans="1:10" ht="30">
      <c r="A7" s="30">
        <v>5</v>
      </c>
      <c r="B7" s="29" t="s">
        <v>74</v>
      </c>
      <c r="C7" s="31" t="s">
        <v>144</v>
      </c>
      <c r="D7" s="31">
        <v>0</v>
      </c>
      <c r="E7" s="33">
        <v>0</v>
      </c>
      <c r="G7" s="3">
        <f>G5+G6</f>
        <v>28126.19</v>
      </c>
      <c r="H7" s="3">
        <f>H5+H6</f>
        <v>5879</v>
      </c>
    </row>
    <row r="8" spans="1:10">
      <c r="A8" s="30">
        <v>6</v>
      </c>
      <c r="B8" s="29" t="s">
        <v>75</v>
      </c>
      <c r="C8" s="43">
        <v>2376</v>
      </c>
      <c r="D8" s="31">
        <f>Expenditure!R45-'External Audit Form'!D6</f>
        <v>2721.3399999999992</v>
      </c>
      <c r="E8" s="33">
        <f t="shared" si="0"/>
        <v>0.14534511784511753</v>
      </c>
      <c r="H8" s="15"/>
    </row>
    <row r="9" spans="1:10">
      <c r="A9" s="30">
        <v>7</v>
      </c>
      <c r="B9" s="29" t="s">
        <v>76</v>
      </c>
      <c r="C9" s="39">
        <f>Reconciliation!B8</f>
        <v>5389.6799999999994</v>
      </c>
      <c r="D9" s="44">
        <f>D3+D4+D5-D6-D8</f>
        <v>27636.890000000003</v>
      </c>
      <c r="E9" s="33">
        <f t="shared" si="0"/>
        <v>4.1277422778346775</v>
      </c>
      <c r="H9" s="15"/>
      <c r="I9" s="15"/>
    </row>
    <row r="10" spans="1:10" ht="30">
      <c r="A10" s="30">
        <v>8</v>
      </c>
      <c r="B10" s="29" t="s">
        <v>77</v>
      </c>
      <c r="C10" s="49">
        <f>Reconciliation!B8</f>
        <v>5389.6799999999994</v>
      </c>
      <c r="D10" s="31">
        <f>Reconciliation!B21</f>
        <v>27636.890000000003</v>
      </c>
      <c r="E10" s="33">
        <f t="shared" ref="E10:E11" si="1">(C10-D10)/C10</f>
        <v>-4.1277422778346775</v>
      </c>
      <c r="H10" s="15"/>
    </row>
    <row r="11" spans="1:10" ht="45">
      <c r="A11" s="30">
        <v>9</v>
      </c>
      <c r="B11" s="29" t="s">
        <v>78</v>
      </c>
      <c r="C11" s="43">
        <v>4804</v>
      </c>
      <c r="D11" s="43">
        <v>4804</v>
      </c>
      <c r="E11" s="33">
        <f t="shared" si="1"/>
        <v>0</v>
      </c>
      <c r="H11" s="15"/>
    </row>
    <row r="12" spans="1:10">
      <c r="A12" s="30">
        <v>10</v>
      </c>
      <c r="B12" s="29" t="s">
        <v>79</v>
      </c>
      <c r="C12" s="31" t="s">
        <v>144</v>
      </c>
      <c r="D12" s="31"/>
      <c r="E12" s="33"/>
    </row>
    <row r="15" spans="1:10">
      <c r="D15" s="43"/>
    </row>
  </sheetData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6"/>
  <sheetViews>
    <sheetView workbookViewId="0">
      <selection activeCell="B2" sqref="B2:F16"/>
    </sheetView>
  </sheetViews>
  <sheetFormatPr defaultRowHeight="15"/>
  <cols>
    <col min="2" max="2" width="30.42578125" customWidth="1"/>
    <col min="3" max="3" width="13.42578125" customWidth="1"/>
    <col min="4" max="5" width="10.5703125" customWidth="1"/>
    <col min="6" max="6" width="16.5703125" customWidth="1"/>
    <col min="7" max="7" width="30" customWidth="1"/>
    <col min="8" max="8" width="10.5703125" bestFit="1" customWidth="1"/>
  </cols>
  <sheetData>
    <row r="2" spans="2:7">
      <c r="B2" s="4" t="s">
        <v>120</v>
      </c>
      <c r="C2" s="4"/>
      <c r="D2" s="4"/>
      <c r="E2" s="4"/>
      <c r="F2" s="4"/>
      <c r="G2" s="4"/>
    </row>
    <row r="3" spans="2:7">
      <c r="B3" s="4"/>
      <c r="C3" s="4" t="s">
        <v>102</v>
      </c>
      <c r="D3" s="4" t="s">
        <v>86</v>
      </c>
      <c r="E3" s="4" t="s">
        <v>128</v>
      </c>
      <c r="F3" s="4" t="s">
        <v>142</v>
      </c>
      <c r="G3" s="4" t="s">
        <v>61</v>
      </c>
    </row>
    <row r="4" spans="2:7">
      <c r="B4" t="s">
        <v>82</v>
      </c>
      <c r="C4" s="3"/>
      <c r="D4" s="3">
        <v>583</v>
      </c>
      <c r="E4" s="3">
        <v>0</v>
      </c>
      <c r="F4" s="3"/>
      <c r="G4" t="s">
        <v>104</v>
      </c>
    </row>
    <row r="5" spans="2:7">
      <c r="B5" t="s">
        <v>26</v>
      </c>
      <c r="C5" s="3">
        <v>63.29</v>
      </c>
      <c r="D5" s="3">
        <v>55.31</v>
      </c>
      <c r="E5" s="3">
        <v>553.66999999999996</v>
      </c>
      <c r="F5" s="3">
        <f>Income!H3</f>
        <v>112.76</v>
      </c>
    </row>
    <row r="6" spans="2:7">
      <c r="B6" t="s">
        <v>91</v>
      </c>
      <c r="C6" s="3"/>
      <c r="D6" s="3">
        <v>600</v>
      </c>
      <c r="E6" s="3">
        <v>0</v>
      </c>
      <c r="F6" s="3"/>
      <c r="G6" t="s">
        <v>104</v>
      </c>
    </row>
    <row r="7" spans="2:7">
      <c r="B7" t="s">
        <v>90</v>
      </c>
      <c r="C7" s="3"/>
      <c r="D7" s="3">
        <v>1500</v>
      </c>
      <c r="E7" s="3">
        <v>0</v>
      </c>
      <c r="F7" s="3"/>
      <c r="G7" t="s">
        <v>104</v>
      </c>
    </row>
    <row r="8" spans="2:7">
      <c r="B8" t="s">
        <v>101</v>
      </c>
      <c r="C8" s="3">
        <v>330.94</v>
      </c>
      <c r="D8" s="3">
        <v>330.94</v>
      </c>
      <c r="E8" s="3">
        <v>330.94</v>
      </c>
      <c r="F8" s="3">
        <f>Income!F8</f>
        <v>330.94</v>
      </c>
    </row>
    <row r="9" spans="2:7">
      <c r="B9" t="s">
        <v>96</v>
      </c>
      <c r="C9" s="3"/>
      <c r="D9" s="3">
        <v>780</v>
      </c>
      <c r="E9" s="3">
        <v>2460</v>
      </c>
      <c r="F9" s="3"/>
      <c r="G9" t="s">
        <v>138</v>
      </c>
    </row>
    <row r="10" spans="2:7">
      <c r="B10" t="s">
        <v>99</v>
      </c>
      <c r="C10" s="3"/>
      <c r="D10" s="3">
        <v>2000</v>
      </c>
      <c r="E10" s="3">
        <v>0</v>
      </c>
      <c r="F10" s="3"/>
      <c r="G10" t="s">
        <v>104</v>
      </c>
    </row>
    <row r="11" spans="2:7">
      <c r="B11" t="s">
        <v>103</v>
      </c>
      <c r="C11" s="3">
        <v>150</v>
      </c>
      <c r="D11" s="3">
        <v>0</v>
      </c>
      <c r="E11" s="3">
        <v>0</v>
      </c>
      <c r="F11" s="3"/>
    </row>
    <row r="12" spans="2:7">
      <c r="B12" t="s">
        <v>135</v>
      </c>
      <c r="C12" s="3"/>
      <c r="D12" s="3"/>
      <c r="E12" s="3">
        <v>972</v>
      </c>
      <c r="F12" s="3"/>
      <c r="G12" t="s">
        <v>104</v>
      </c>
    </row>
    <row r="13" spans="2:7">
      <c r="B13" t="s">
        <v>139</v>
      </c>
      <c r="C13" s="3"/>
      <c r="D13" s="3"/>
      <c r="E13" s="3">
        <v>33.75</v>
      </c>
      <c r="F13" s="3"/>
    </row>
    <row r="14" spans="2:7">
      <c r="B14" t="s">
        <v>172</v>
      </c>
      <c r="C14" s="3"/>
      <c r="D14" s="3"/>
      <c r="E14" s="3"/>
      <c r="F14" s="3">
        <f>Income!G4</f>
        <v>250</v>
      </c>
      <c r="G14" t="s">
        <v>104</v>
      </c>
    </row>
    <row r="15" spans="2:7">
      <c r="B15" t="s">
        <v>190</v>
      </c>
      <c r="C15" s="3"/>
      <c r="D15" s="3"/>
      <c r="E15" s="3"/>
      <c r="F15" s="3">
        <v>23507</v>
      </c>
      <c r="G15" t="s">
        <v>104</v>
      </c>
    </row>
    <row r="16" spans="2:7">
      <c r="C16" s="6">
        <v>544.23</v>
      </c>
      <c r="D16" s="6">
        <v>5849.25</v>
      </c>
      <c r="E16" s="6">
        <v>4350.3599999999997</v>
      </c>
      <c r="F16" s="6">
        <f>SUM(F4:F15)</f>
        <v>24200.7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"/>
  <sheetViews>
    <sheetView workbookViewId="0">
      <selection activeCell="B1" sqref="B1:F5"/>
    </sheetView>
  </sheetViews>
  <sheetFormatPr defaultRowHeight="15"/>
  <cols>
    <col min="2" max="2" width="30.28515625" customWidth="1"/>
    <col min="3" max="3" width="10.85546875" customWidth="1"/>
    <col min="4" max="5" width="10.5703125" bestFit="1" customWidth="1"/>
    <col min="6" max="6" width="10.5703125" customWidth="1"/>
  </cols>
  <sheetData>
    <row r="1" spans="2:7">
      <c r="B1" s="4" t="s">
        <v>121</v>
      </c>
      <c r="C1" s="4"/>
      <c r="D1" s="4"/>
      <c r="E1" s="4"/>
      <c r="F1" s="4"/>
      <c r="G1" s="4"/>
    </row>
    <row r="2" spans="2:7">
      <c r="B2" s="4"/>
      <c r="C2" s="4" t="s">
        <v>66</v>
      </c>
      <c r="D2" s="4" t="s">
        <v>86</v>
      </c>
      <c r="E2" s="4" t="s">
        <v>128</v>
      </c>
      <c r="F2" s="4" t="s">
        <v>142</v>
      </c>
      <c r="G2" s="4"/>
    </row>
    <row r="3" spans="2:7">
      <c r="B3" t="s">
        <v>112</v>
      </c>
      <c r="C3" s="3">
        <v>1808.64</v>
      </c>
      <c r="D3" s="3">
        <v>1808.64</v>
      </c>
      <c r="E3" s="3">
        <v>1814.6000000000001</v>
      </c>
      <c r="F3" s="3">
        <f>Expenditure!F45</f>
        <v>1849.6499999999996</v>
      </c>
    </row>
    <row r="4" spans="2:7">
      <c r="B4" t="s">
        <v>111</v>
      </c>
      <c r="C4" s="3">
        <v>0</v>
      </c>
      <c r="D4" s="3">
        <v>350</v>
      </c>
      <c r="E4" s="3">
        <v>562.49999999999977</v>
      </c>
      <c r="F4" s="3">
        <f>Expenditure!N45-Expenditure!N21-Expenditure!N36</f>
        <v>656.50000000000011</v>
      </c>
    </row>
    <row r="5" spans="2:7">
      <c r="C5" s="6">
        <v>1808.64</v>
      </c>
      <c r="D5" s="6">
        <v>2158.6400000000003</v>
      </c>
      <c r="E5" s="6">
        <v>2377.1</v>
      </c>
      <c r="F5" s="6">
        <f>SUM(F3:F4)</f>
        <v>2506.1499999999996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5"/>
  <sheetViews>
    <sheetView workbookViewId="0">
      <selection activeCell="F16" sqref="F16"/>
    </sheetView>
  </sheetViews>
  <sheetFormatPr defaultRowHeight="15"/>
  <cols>
    <col min="2" max="2" width="31.7109375" customWidth="1"/>
    <col min="3" max="3" width="11.28515625" customWidth="1"/>
    <col min="4" max="4" width="10.5703125" bestFit="1" customWidth="1"/>
    <col min="5" max="6" width="10.5703125" customWidth="1"/>
    <col min="7" max="7" width="27.140625" customWidth="1"/>
    <col min="8" max="8" width="10.5703125" bestFit="1" customWidth="1"/>
  </cols>
  <sheetData>
    <row r="1" spans="2:6">
      <c r="B1" s="4" t="s">
        <v>122</v>
      </c>
      <c r="C1" s="4"/>
      <c r="D1" s="4"/>
      <c r="E1" s="4"/>
      <c r="F1" s="4"/>
    </row>
    <row r="2" spans="2:6">
      <c r="B2" s="4"/>
      <c r="C2" s="4" t="s">
        <v>66</v>
      </c>
      <c r="D2" s="4" t="s">
        <v>86</v>
      </c>
      <c r="E2" s="4" t="s">
        <v>128</v>
      </c>
      <c r="F2" s="4" t="s">
        <v>142</v>
      </c>
    </row>
    <row r="3" spans="2:6">
      <c r="B3" t="s">
        <v>105</v>
      </c>
      <c r="C3" s="3">
        <v>65.28</v>
      </c>
      <c r="D3" s="3">
        <v>0</v>
      </c>
      <c r="E3" s="3">
        <v>0</v>
      </c>
      <c r="F3" s="3"/>
    </row>
    <row r="4" spans="2:6">
      <c r="B4" t="s">
        <v>28</v>
      </c>
      <c r="C4" s="3">
        <v>58.25</v>
      </c>
      <c r="D4" s="3">
        <v>60.45</v>
      </c>
      <c r="E4" s="3">
        <v>61.75</v>
      </c>
      <c r="F4" s="3">
        <f>'Budget Analysis'!D5</f>
        <v>62.71</v>
      </c>
    </row>
    <row r="5" spans="2:6">
      <c r="B5" t="s">
        <v>29</v>
      </c>
      <c r="C5" s="3">
        <v>84</v>
      </c>
      <c r="D5" s="3">
        <v>88</v>
      </c>
      <c r="E5" s="3">
        <v>136.86000000000001</v>
      </c>
      <c r="F5" s="3">
        <f>'Budget Analysis'!D6</f>
        <v>98</v>
      </c>
    </row>
    <row r="6" spans="2:6">
      <c r="B6" t="s">
        <v>30</v>
      </c>
      <c r="C6" s="3">
        <v>378.29</v>
      </c>
      <c r="D6" s="3">
        <v>339.98</v>
      </c>
      <c r="E6" s="3">
        <v>347.74</v>
      </c>
      <c r="F6" s="3">
        <f>'Budget Analysis'!D7</f>
        <v>303.38</v>
      </c>
    </row>
    <row r="7" spans="2:6">
      <c r="B7" t="s">
        <v>31</v>
      </c>
      <c r="C7" s="3">
        <v>0</v>
      </c>
      <c r="D7" s="3">
        <v>250</v>
      </c>
      <c r="E7" s="3">
        <v>275</v>
      </c>
      <c r="F7" s="3">
        <f>'Budget Analysis'!D8</f>
        <v>350</v>
      </c>
    </row>
    <row r="8" spans="2:6">
      <c r="B8" t="s">
        <v>106</v>
      </c>
      <c r="C8" s="3">
        <v>35</v>
      </c>
      <c r="D8" s="3">
        <v>35</v>
      </c>
      <c r="E8" s="3">
        <v>35</v>
      </c>
      <c r="F8" s="3">
        <f>'Budget Analysis'!D9</f>
        <v>40</v>
      </c>
    </row>
    <row r="9" spans="2:6">
      <c r="B9" t="s">
        <v>107</v>
      </c>
      <c r="C9" s="3">
        <v>0</v>
      </c>
      <c r="D9" s="3">
        <v>406.96999999999997</v>
      </c>
      <c r="E9" s="3">
        <v>79.16</v>
      </c>
      <c r="F9" s="3">
        <f>'Budget Analysis'!D12</f>
        <v>0</v>
      </c>
    </row>
    <row r="10" spans="2:6">
      <c r="B10" t="s">
        <v>108</v>
      </c>
      <c r="C10" s="3">
        <v>0</v>
      </c>
      <c r="D10" s="3">
        <v>1115.4000000000001</v>
      </c>
      <c r="E10" s="3">
        <v>0</v>
      </c>
      <c r="F10" s="3">
        <f>'Budget Analysis'!D16</f>
        <v>0</v>
      </c>
    </row>
    <row r="11" spans="2:6">
      <c r="B11" t="s">
        <v>109</v>
      </c>
      <c r="C11" s="3">
        <v>0</v>
      </c>
      <c r="D11" s="3">
        <v>600</v>
      </c>
      <c r="E11" s="3">
        <v>0</v>
      </c>
      <c r="F11" s="3">
        <f>'Budget Analysis'!D17</f>
        <v>0</v>
      </c>
    </row>
    <row r="12" spans="2:6">
      <c r="B12" t="s">
        <v>110</v>
      </c>
      <c r="C12" s="3">
        <v>0</v>
      </c>
      <c r="D12" s="3">
        <v>166.42</v>
      </c>
      <c r="E12" s="3">
        <v>86.440000000000282</v>
      </c>
      <c r="F12" s="3">
        <f>(Expenditure!N45-'Line 4'!F4)</f>
        <v>40.960000000000036</v>
      </c>
    </row>
    <row r="13" spans="2:6">
      <c r="B13" t="s">
        <v>99</v>
      </c>
      <c r="C13" s="3">
        <v>0</v>
      </c>
      <c r="D13" s="3">
        <v>1406</v>
      </c>
      <c r="E13" s="3">
        <v>180</v>
      </c>
      <c r="F13" s="3">
        <f>'Budget Analysis'!D20</f>
        <v>0</v>
      </c>
    </row>
    <row r="14" spans="2:6">
      <c r="B14" t="s">
        <v>131</v>
      </c>
      <c r="C14" s="3">
        <v>0</v>
      </c>
      <c r="D14" s="3">
        <v>0</v>
      </c>
      <c r="E14" s="3">
        <v>189.97</v>
      </c>
      <c r="F14" s="3">
        <f>'Budget Analysis'!D19</f>
        <v>0</v>
      </c>
    </row>
    <row r="15" spans="2:6">
      <c r="B15" t="s">
        <v>32</v>
      </c>
      <c r="C15" s="3">
        <v>892.56999999999994</v>
      </c>
      <c r="D15" s="3">
        <v>746.56999999999971</v>
      </c>
      <c r="E15" s="3">
        <f>871.79-E18-E19</f>
        <v>514.79</v>
      </c>
      <c r="F15" s="3">
        <f>655-380-F19</f>
        <v>25</v>
      </c>
    </row>
    <row r="16" spans="2:6">
      <c r="B16" t="s">
        <v>35</v>
      </c>
      <c r="C16" s="3">
        <v>55.31</v>
      </c>
      <c r="D16" s="3">
        <v>553.66999999999996</v>
      </c>
      <c r="E16" s="3">
        <v>112.76000000000002</v>
      </c>
      <c r="F16" s="3">
        <f>Expenditure!Q45</f>
        <v>164.10000000000002</v>
      </c>
    </row>
    <row r="17" spans="2:10">
      <c r="B17" t="s">
        <v>175</v>
      </c>
      <c r="C17" s="3"/>
      <c r="D17" s="3"/>
      <c r="E17" s="3">
        <v>370</v>
      </c>
      <c r="F17" s="3">
        <v>380</v>
      </c>
    </row>
    <row r="18" spans="2:10">
      <c r="B18" t="s">
        <v>174</v>
      </c>
      <c r="C18" s="3"/>
      <c r="D18" s="3"/>
      <c r="E18" s="3">
        <v>107</v>
      </c>
      <c r="F18" s="3">
        <f>'Budget Analysis'!D15</f>
        <v>164.17</v>
      </c>
    </row>
    <row r="19" spans="2:10">
      <c r="B19" t="s">
        <v>195</v>
      </c>
      <c r="C19" s="3"/>
      <c r="D19" s="3"/>
      <c r="E19" s="3">
        <v>250</v>
      </c>
      <c r="F19" s="3">
        <v>250</v>
      </c>
    </row>
    <row r="20" spans="2:10">
      <c r="B20" t="s">
        <v>173</v>
      </c>
      <c r="C20" s="3"/>
      <c r="D20" s="3"/>
      <c r="E20" s="3"/>
      <c r="F20" s="3">
        <f>'Budget Analysis'!D23</f>
        <v>100</v>
      </c>
      <c r="J20">
        <v>500</v>
      </c>
    </row>
    <row r="21" spans="2:10">
      <c r="B21" t="s">
        <v>193</v>
      </c>
      <c r="C21" s="3"/>
      <c r="D21" s="3"/>
      <c r="E21" s="3"/>
      <c r="F21" s="3">
        <v>208.33</v>
      </c>
    </row>
    <row r="22" spans="2:10">
      <c r="B22" t="s">
        <v>194</v>
      </c>
      <c r="C22" s="3"/>
      <c r="D22" s="3"/>
      <c r="E22" s="3"/>
      <c r="F22" s="3">
        <v>250</v>
      </c>
      <c r="H22" s="3">
        <f>F21+F22+F20</f>
        <v>558.33000000000004</v>
      </c>
    </row>
    <row r="23" spans="2:10">
      <c r="B23" t="s">
        <v>136</v>
      </c>
      <c r="C23" s="3"/>
      <c r="D23" s="3"/>
      <c r="E23" s="3"/>
      <c r="F23" s="3">
        <f>Expenditure!P41</f>
        <v>284.69</v>
      </c>
    </row>
    <row r="24" spans="2:10">
      <c r="C24" s="6">
        <f>SUM(C3:C20)</f>
        <v>1568.6999999999998</v>
      </c>
      <c r="D24" s="6">
        <f>SUM(D3:D20)</f>
        <v>5768.46</v>
      </c>
      <c r="E24" s="6">
        <f>SUM(E3:E20)-E17</f>
        <v>2376.4700000000003</v>
      </c>
      <c r="F24" s="6">
        <f>SUM(F3:F23)</f>
        <v>2721.34</v>
      </c>
    </row>
    <row r="25" spans="2:10">
      <c r="C25" s="3"/>
      <c r="D25" s="3"/>
      <c r="E25" s="3">
        <v>2376.4699999999998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Income</vt:lpstr>
      <vt:lpstr>Expenditure</vt:lpstr>
      <vt:lpstr>Reconciliation</vt:lpstr>
      <vt:lpstr>Budget Analysis</vt:lpstr>
      <vt:lpstr>Asset Register</vt:lpstr>
      <vt:lpstr>External Audit Form</vt:lpstr>
      <vt:lpstr>Line 3</vt:lpstr>
      <vt:lpstr>Line 4</vt:lpstr>
      <vt:lpstr>Line 6</vt:lpstr>
      <vt:lpstr>Line 7</vt:lpstr>
      <vt:lpstr>VAT</vt:lpstr>
      <vt:lpstr>Sheet1</vt:lpstr>
      <vt:lpstr>'Budget Analysis'!Print_Area</vt:lpstr>
      <vt:lpstr>Expenditure!Print_Area</vt:lpstr>
      <vt:lpstr>'External Audit Form'!Print_Area</vt:lpstr>
      <vt:lpstr>Income!Print_Area</vt:lpstr>
      <vt:lpstr>'Line 3'!Print_Area</vt:lpstr>
      <vt:lpstr>'Line 4'!Print_Area</vt:lpstr>
      <vt:lpstr>'Line 6'!Print_Area</vt:lpstr>
      <vt:lpstr>'Line 7'!Print_Area</vt:lpstr>
      <vt:lpstr>Reconciliation!Print_Area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MUSSET</dc:creator>
  <cp:lastModifiedBy>Little Braxted Parish Council</cp:lastModifiedBy>
  <cp:lastPrinted>2019-05-09T17:04:43Z</cp:lastPrinted>
  <dcterms:created xsi:type="dcterms:W3CDTF">2013-01-15T09:01:08Z</dcterms:created>
  <dcterms:modified xsi:type="dcterms:W3CDTF">2019-07-28T09:22:35Z</dcterms:modified>
</cp:coreProperties>
</file>